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jackson\Desktop\2016\all KAM lenders plans 2016\SCOTIA\Marketing Pieces\"/>
    </mc:Choice>
  </mc:AlternateContent>
  <bookViews>
    <workbookView xWindow="0" yWindow="0" windowWidth="15390" windowHeight="6765"/>
  </bookViews>
  <sheets>
    <sheet name="Mortgage Calculator" sheetId="2" r:id="rId1"/>
    <sheet name="PPI Calculator"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F12" i="2" l="1"/>
  <c r="F13" i="2" s="1"/>
  <c r="E11" i="2"/>
  <c r="E12" i="2" s="1"/>
  <c r="E13" i="2" s="1"/>
  <c r="D11" i="2"/>
  <c r="D12" i="2" s="1"/>
  <c r="AA9" i="2" l="1"/>
  <c r="Z23" i="2" s="1"/>
  <c r="Y9" i="2"/>
  <c r="X23" i="2" s="1"/>
  <c r="W9" i="2"/>
  <c r="V23" i="2" s="1"/>
  <c r="D15" i="1"/>
  <c r="Z22" i="2" l="1"/>
  <c r="Z24" i="2"/>
  <c r="Z20" i="2"/>
  <c r="V20" i="2"/>
  <c r="Z21" i="2"/>
  <c r="V22" i="2"/>
  <c r="V24" i="2"/>
  <c r="X20" i="2"/>
  <c r="X22" i="2"/>
  <c r="X24" i="2"/>
  <c r="V21" i="2"/>
  <c r="X21" i="2"/>
  <c r="Z10" i="1"/>
  <c r="Y23" i="1" s="1"/>
  <c r="X10" i="1"/>
  <c r="W25" i="1" s="1"/>
  <c r="V10" i="1"/>
  <c r="W24" i="1" l="1"/>
  <c r="W22" i="1"/>
  <c r="W23" i="1"/>
  <c r="Y24" i="1"/>
  <c r="W21" i="1"/>
  <c r="Y21" i="1"/>
  <c r="Y25" i="1"/>
  <c r="Y22" i="1"/>
  <c r="D13" i="2" l="1"/>
  <c r="D14" i="2" s="1"/>
  <c r="W7" i="2" s="1"/>
  <c r="V15" i="2" s="1"/>
  <c r="W15" i="2" s="1"/>
  <c r="F14" i="2"/>
  <c r="AA7" i="2" s="1"/>
  <c r="U25" i="1"/>
  <c r="U24" i="1"/>
  <c r="U23" i="1"/>
  <c r="U22" i="1"/>
  <c r="U21" i="1"/>
  <c r="E15" i="1"/>
  <c r="C17" i="1"/>
  <c r="C18" i="1" s="1"/>
  <c r="V14" i="2" l="1"/>
  <c r="V16" i="2"/>
  <c r="W16" i="2" s="1"/>
  <c r="E14" i="2"/>
  <c r="Y7" i="2" s="1"/>
  <c r="Z16" i="2"/>
  <c r="AA16" i="2" s="1"/>
  <c r="Z14" i="2"/>
  <c r="Z15" i="2"/>
  <c r="AA15" i="2" s="1"/>
  <c r="D17" i="1"/>
  <c r="D19" i="1" s="1"/>
  <c r="C19" i="1"/>
  <c r="C20" i="1" s="1"/>
  <c r="C21" i="1" s="1"/>
  <c r="E17" i="1"/>
  <c r="E18" i="1" s="1"/>
  <c r="W14" i="2" l="1"/>
  <c r="D15" i="2"/>
  <c r="V18" i="2"/>
  <c r="W18" i="2" s="1"/>
  <c r="V17" i="2"/>
  <c r="W17" i="2" s="1"/>
  <c r="F15" i="2"/>
  <c r="Z18" i="2"/>
  <c r="AA18" i="2" s="1"/>
  <c r="Z17" i="2"/>
  <c r="AA17" i="2" s="1"/>
  <c r="AA14" i="2"/>
  <c r="X15" i="2"/>
  <c r="Y15" i="2" s="1"/>
  <c r="X14" i="2"/>
  <c r="X16" i="2"/>
  <c r="Y16" i="2" s="1"/>
  <c r="D18" i="1"/>
  <c r="D20" i="1" s="1"/>
  <c r="D21" i="1" s="1"/>
  <c r="D22" i="1" s="1"/>
  <c r="D23" i="1" s="1"/>
  <c r="X8" i="1" s="1"/>
  <c r="C26" i="1"/>
  <c r="C22" i="1"/>
  <c r="C23" i="1" s="1"/>
  <c r="V8" i="1" s="1"/>
  <c r="E19" i="1"/>
  <c r="E20" i="1" s="1"/>
  <c r="E21" i="1" s="1"/>
  <c r="F16" i="2" l="1"/>
  <c r="E15" i="2"/>
  <c r="E16" i="2" s="1"/>
  <c r="X17" i="2"/>
  <c r="Y17" i="2" s="1"/>
  <c r="X18" i="2"/>
  <c r="Y18" i="2" s="1"/>
  <c r="Y14" i="2"/>
  <c r="W17" i="1"/>
  <c r="X17" i="1" s="1"/>
  <c r="W16" i="1"/>
  <c r="X16" i="1" s="1"/>
  <c r="W15" i="1"/>
  <c r="U16" i="1"/>
  <c r="V16" i="1" s="1"/>
  <c r="U17" i="1"/>
  <c r="V17" i="1" s="1"/>
  <c r="U15" i="1"/>
  <c r="C24" i="1" s="1"/>
  <c r="D26" i="1"/>
  <c r="E26" i="1"/>
  <c r="E22" i="1"/>
  <c r="E23" i="1" s="1"/>
  <c r="Z8" i="1" s="1"/>
  <c r="Y17" i="1" l="1"/>
  <c r="Z17" i="1" s="1"/>
  <c r="Y16" i="1"/>
  <c r="Z16" i="1" s="1"/>
  <c r="Y15" i="1"/>
  <c r="D24" i="1"/>
  <c r="D25" i="1" s="1"/>
  <c r="W19" i="1"/>
  <c r="X19" i="1" s="1"/>
  <c r="X15" i="1"/>
  <c r="W18" i="1"/>
  <c r="X18" i="1" s="1"/>
  <c r="U18" i="1"/>
  <c r="V18" i="1" s="1"/>
  <c r="U19" i="1"/>
  <c r="V19" i="1" s="1"/>
  <c r="V15" i="1"/>
  <c r="E24" i="1" l="1"/>
  <c r="E25" i="1" s="1"/>
  <c r="Y18" i="1"/>
  <c r="Z18" i="1" s="1"/>
  <c r="Z15" i="1"/>
  <c r="Y19" i="1"/>
  <c r="Z19" i="1" s="1"/>
</calcChain>
</file>

<file path=xl/sharedStrings.xml><?xml version="1.0" encoding="utf-8"?>
<sst xmlns="http://schemas.openxmlformats.org/spreadsheetml/2006/main" count="115" uniqueCount="46">
  <si>
    <t>Straight Purchase</t>
  </si>
  <si>
    <t>Increase in Value</t>
  </si>
  <si>
    <t>Lending Value</t>
  </si>
  <si>
    <t>Improvement Amount</t>
  </si>
  <si>
    <t>Total Mortgage</t>
  </si>
  <si>
    <t>Mortgage Payment</t>
  </si>
  <si>
    <t>Payment Difference</t>
  </si>
  <si>
    <t>Mortgage Required</t>
  </si>
  <si>
    <t>CMHC Mortgage Payment Calculator</t>
  </si>
  <si>
    <t>Mortgage Amount</t>
  </si>
  <si>
    <t>Interest Rate</t>
  </si>
  <si>
    <t>Amortization Period (Years)</t>
  </si>
  <si>
    <t xml:space="preserve">Your Payment </t>
  </si>
  <si>
    <t>Total Interest Cost</t>
  </si>
  <si>
    <t>Monthly</t>
  </si>
  <si>
    <t>Bi-weekly</t>
  </si>
  <si>
    <t>Weekly</t>
  </si>
  <si>
    <t>Accelerated Bi-weekly</t>
  </si>
  <si>
    <t>Accelerated Weekly</t>
  </si>
  <si>
    <t>INTEREST RATE PER PERIOD</t>
  </si>
  <si>
    <t>PAY PERIODS PER YEAR</t>
  </si>
  <si>
    <t xml:space="preserve">Interest is compounded semi-annually not in advance. The interest rate is fixed for the term of the mortgage. </t>
  </si>
  <si>
    <t>The interest rate is usually renegotiated at the end of the term of the mortgage.</t>
  </si>
  <si>
    <t>The calculations are approximate. Payments are rounded to nearest cent.</t>
  </si>
  <si>
    <t>CMHC’s Mortgage Payment Calculator is for general illustrative purposes only. CMHC does not guarantee the accuracy, reliability or completeness of any information, formulas or calculations provided through the use of this calculator and accepts no liability for loss or damage of any kind that may be attributed to the use of this tool.</t>
  </si>
  <si>
    <t>Input Amounts</t>
  </si>
  <si>
    <t>Scenario 1</t>
  </si>
  <si>
    <t>Scenario 2</t>
  </si>
  <si>
    <t>Inputs Required</t>
  </si>
  <si>
    <t>Calculation Results</t>
  </si>
  <si>
    <t>Purchase with no Improvements</t>
  </si>
  <si>
    <t>Purchase Price ($)</t>
  </si>
  <si>
    <t>Mortgage Interest Rate</t>
  </si>
  <si>
    <t>Scenario 1: Potential Increase in Home Value with Improvements</t>
  </si>
  <si>
    <t>Scenario 2: Potential Increase in Home Value with Improvements</t>
  </si>
  <si>
    <t>CMHC Mortgage Loan Insurance Premium</t>
  </si>
  <si>
    <t>**Payment based on 25 year amortization</t>
  </si>
  <si>
    <t>*** Payment based on Monthly frequency</t>
  </si>
  <si>
    <r>
      <t>Downpayment Required</t>
    </r>
    <r>
      <rPr>
        <b/>
        <sz val="8"/>
        <color theme="1"/>
        <rFont val="Gadugi"/>
        <family val="2"/>
      </rPr>
      <t>*</t>
    </r>
  </si>
  <si>
    <t>PPI Calculator - Multiple Uses</t>
  </si>
  <si>
    <t>*Based on minimum downpayment required</t>
  </si>
  <si>
    <t>5% Downpayment</t>
  </si>
  <si>
    <t>10% Downpayment</t>
  </si>
  <si>
    <t>Downpayment Required*</t>
  </si>
  <si>
    <t>Calculator for THE RESOURCE</t>
  </si>
  <si>
    <t>20% Downpayment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</si>
</sst>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4" formatCode="_-&quot;$&quot;* #,##0.00_-;\-&quot;$&quot;* #,##0.00_-;_-&quot;$&quot;* &quot;-&quot;??_-;_-@_-"/>
    <numFmt numFmtId="164" formatCode="&quot;$&quot;#,##0_);\(&quot;$&quot;#,##0\)"/>
    <numFmt numFmtId="165" formatCode="0_);\(0\)"/>
    <numFmt numFmtId="166" formatCode="[$$-1009]#,##0.00"/>
    <numFmt numFmtId="167" formatCode="_-&quot;$&quot;* #,##0_-;\-&quot;$&quot;* #,##0_-;_-&quot;$&quot;* &quot;-&quot;??_-;_-@_-"/>
  </numFmts>
  <fonts count="49"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Gadugi"/>
      <family val="2"/>
    </font>
    <font>
      <sz val="11"/>
      <color theme="1"/>
      <name val="Gadugi"/>
      <family val="2"/>
    </font>
    <font>
      <b/>
      <sz val="11"/>
      <color theme="0"/>
      <name val="Gadugi"/>
      <family val="2"/>
    </font>
    <font>
      <b/>
      <sz val="8"/>
      <color indexed="9"/>
      <name val="Gadugi"/>
      <family val="2"/>
    </font>
    <font>
      <sz val="14"/>
      <color theme="1"/>
      <name val="Gadugi"/>
      <family val="2"/>
    </font>
    <font>
      <sz val="9"/>
      <color theme="1"/>
      <name val="Gadugi"/>
      <family val="2"/>
    </font>
    <font>
      <b/>
      <sz val="10"/>
      <color theme="1"/>
      <name val="Gadugi"/>
      <family val="2"/>
    </font>
    <font>
      <u/>
      <sz val="9"/>
      <color indexed="12"/>
      <name val="Gadugi"/>
      <family val="2"/>
    </font>
    <font>
      <sz val="10"/>
      <color theme="1"/>
      <name val="Gadugi"/>
      <family val="2"/>
    </font>
    <font>
      <b/>
      <sz val="8"/>
      <color indexed="23"/>
      <name val="Gadugi"/>
      <family val="2"/>
    </font>
    <font>
      <b/>
      <sz val="8"/>
      <color theme="1"/>
      <name val="Gadugi"/>
      <family val="2"/>
    </font>
    <font>
      <sz val="10"/>
      <name val="Gadugi"/>
      <family val="2"/>
    </font>
    <font>
      <b/>
      <sz val="14"/>
      <color theme="1"/>
      <name val="Gadugi"/>
      <family val="2"/>
    </font>
    <font>
      <b/>
      <sz val="9"/>
      <color indexed="9"/>
      <name val="Gadugi"/>
      <family val="2"/>
    </font>
    <font>
      <sz val="8"/>
      <name val="Gadugi"/>
      <family val="2"/>
    </font>
    <font>
      <sz val="8"/>
      <color theme="0"/>
      <name val="Gadugi"/>
      <family val="2"/>
    </font>
    <font>
      <b/>
      <sz val="8"/>
      <color theme="0"/>
      <name val="Gadugi"/>
      <family val="2"/>
    </font>
    <font>
      <sz val="10"/>
      <color theme="0"/>
      <name val="Gadugi"/>
      <family val="2"/>
    </font>
    <font>
      <sz val="11"/>
      <color theme="0"/>
      <name val="Gadugi"/>
      <family val="2"/>
    </font>
    <font>
      <i/>
      <sz val="9"/>
      <color theme="1"/>
      <name val="Gadugi"/>
      <family val="2"/>
    </font>
    <font>
      <sz val="11"/>
      <color theme="1"/>
      <name val="Browallia New"/>
      <family val="2"/>
    </font>
    <font>
      <b/>
      <sz val="11"/>
      <color theme="1"/>
      <name val="Browallia New"/>
      <family val="2"/>
    </font>
    <font>
      <b/>
      <sz val="11"/>
      <color theme="0"/>
      <name val="Browallia New"/>
      <family val="2"/>
    </font>
    <font>
      <b/>
      <sz val="8"/>
      <color indexed="9"/>
      <name val="Browallia New"/>
      <family val="2"/>
    </font>
    <font>
      <b/>
      <sz val="14"/>
      <color theme="1"/>
      <name val="Browallia New"/>
      <family val="2"/>
    </font>
    <font>
      <sz val="14"/>
      <color theme="1"/>
      <name val="Browallia New"/>
      <family val="2"/>
    </font>
    <font>
      <sz val="9"/>
      <color theme="1"/>
      <name val="Browallia New"/>
      <family val="2"/>
    </font>
    <font>
      <b/>
      <sz val="10"/>
      <color theme="1"/>
      <name val="Browallia New"/>
      <family val="2"/>
    </font>
    <font>
      <u/>
      <sz val="9"/>
      <color indexed="12"/>
      <name val="Browallia New"/>
      <family val="2"/>
    </font>
    <font>
      <sz val="10"/>
      <color theme="1"/>
      <name val="Browallia New"/>
      <family val="2"/>
    </font>
    <font>
      <sz val="10"/>
      <name val="Browallia New"/>
      <family val="2"/>
    </font>
    <font>
      <b/>
      <sz val="9"/>
      <color indexed="9"/>
      <name val="Browallia New"/>
      <family val="2"/>
    </font>
    <font>
      <sz val="8"/>
      <color theme="0"/>
      <name val="Browallia New"/>
      <family val="2"/>
    </font>
    <font>
      <b/>
      <sz val="8"/>
      <color theme="0"/>
      <name val="Browallia New"/>
      <family val="2"/>
    </font>
    <font>
      <sz val="10"/>
      <color theme="0"/>
      <name val="Browallia New"/>
      <family val="2"/>
    </font>
    <font>
      <i/>
      <sz val="9"/>
      <color theme="1"/>
      <name val="Browallia New"/>
      <family val="2"/>
    </font>
    <font>
      <sz val="11"/>
      <color theme="0"/>
      <name val="Browallia New"/>
      <family val="2"/>
    </font>
    <font>
      <b/>
      <sz val="16"/>
      <color theme="0"/>
      <name val="Browallia New"/>
      <family val="2"/>
    </font>
    <font>
      <b/>
      <sz val="18"/>
      <color theme="1"/>
      <name val="Browallia New"/>
      <family val="2"/>
    </font>
    <font>
      <sz val="18"/>
      <color theme="1"/>
      <name val="Browallia New"/>
      <family val="2"/>
    </font>
    <font>
      <b/>
      <sz val="18"/>
      <color theme="0"/>
      <name val="Browallia New"/>
      <family val="2"/>
    </font>
    <font>
      <b/>
      <sz val="11"/>
      <color indexed="23"/>
      <name val="Browallia New"/>
      <family val="2"/>
    </font>
    <font>
      <b/>
      <sz val="11"/>
      <color indexed="9"/>
      <name val="Browallia New"/>
      <family val="2"/>
    </font>
    <font>
      <sz val="11"/>
      <name val="Browallia New"/>
      <family val="2"/>
    </font>
    <font>
      <sz val="20"/>
      <color theme="1"/>
      <name val="Browallia New"/>
      <family val="2"/>
    </font>
    <font>
      <b/>
      <sz val="20"/>
      <color theme="1"/>
      <name val="Browallia New"/>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969696"/>
        <bgColor indexed="64"/>
      </patternFill>
    </fill>
    <fill>
      <patternFill patternType="solid">
        <fgColor theme="0"/>
        <bgColor indexed="64"/>
      </patternFill>
    </fill>
    <fill>
      <patternFill patternType="solid">
        <fgColor rgb="FFFF9966"/>
        <bgColor indexed="64"/>
      </patternFill>
    </fill>
    <fill>
      <patternFill patternType="solid">
        <fgColor theme="3"/>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1"/>
      </left>
      <right style="medium">
        <color theme="1"/>
      </right>
      <top style="medium">
        <color theme="1"/>
      </top>
      <bottom style="medium">
        <color theme="1"/>
      </bottom>
      <diagonal/>
    </border>
    <border>
      <left style="thin">
        <color theme="0" tint="-0.14999847407452621"/>
      </left>
      <right/>
      <top/>
      <bottom/>
      <diagonal/>
    </border>
    <border>
      <left/>
      <right style="thin">
        <color theme="0" tint="-0.249977111117893"/>
      </right>
      <top style="thin">
        <color theme="0" tint="-0.249977111117893"/>
      </top>
      <bottom/>
      <diagonal/>
    </border>
    <border>
      <left/>
      <right/>
      <top style="thin">
        <color theme="0" tint="-0.14999847407452621"/>
      </top>
      <bottom/>
      <diagonal/>
    </border>
    <border>
      <left style="thin">
        <color theme="0" tint="-0.14999847407452621"/>
      </left>
      <right/>
      <top style="hair">
        <color auto="1"/>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92">
    <xf numFmtId="0" fontId="0" fillId="0" borderId="0" xfId="0"/>
    <xf numFmtId="0" fontId="3" fillId="0" borderId="0" xfId="0" applyFont="1" applyAlignment="1"/>
    <xf numFmtId="0" fontId="4" fillId="0" borderId="0" xfId="0" applyFont="1"/>
    <xf numFmtId="0" fontId="4" fillId="0" borderId="0" xfId="0" applyFont="1" applyAlignment="1">
      <alignment horizontal="left"/>
    </xf>
    <xf numFmtId="0" fontId="3" fillId="0" borderId="0" xfId="0" applyFont="1" applyAlignment="1">
      <alignment horizontal="left"/>
    </xf>
    <xf numFmtId="0" fontId="4" fillId="10" borderId="0" xfId="0" applyFont="1" applyFill="1" applyBorder="1"/>
    <xf numFmtId="0" fontId="3" fillId="10" borderId="0" xfId="0" applyFont="1" applyFill="1" applyAlignment="1">
      <alignment horizontal="left"/>
    </xf>
    <xf numFmtId="0" fontId="4" fillId="10" borderId="0" xfId="0" applyFont="1" applyFill="1"/>
    <xf numFmtId="0" fontId="4" fillId="10" borderId="0" xfId="0" applyFont="1" applyFill="1" applyBorder="1" applyAlignment="1">
      <alignment vertical="center"/>
    </xf>
    <xf numFmtId="0" fontId="5" fillId="9" borderId="0" xfId="0" applyFont="1" applyFill="1" applyAlignment="1">
      <alignment horizontal="left" vertical="center"/>
    </xf>
    <xf numFmtId="0" fontId="5" fillId="9" borderId="0" xfId="0" applyFont="1" applyFill="1" applyAlignment="1">
      <alignment vertical="center"/>
    </xf>
    <xf numFmtId="0" fontId="4" fillId="10" borderId="0" xfId="0" applyFont="1" applyFill="1" applyAlignment="1">
      <alignment vertical="center"/>
    </xf>
    <xf numFmtId="0" fontId="4" fillId="0" borderId="0" xfId="0" applyFont="1" applyAlignment="1">
      <alignment vertical="center"/>
    </xf>
    <xf numFmtId="0" fontId="4" fillId="5" borderId="0" xfId="0" applyFont="1" applyFill="1" applyAlignment="1">
      <alignment vertical="center"/>
    </xf>
    <xf numFmtId="0" fontId="3" fillId="11" borderId="9" xfId="0" applyFont="1" applyFill="1" applyBorder="1" applyAlignment="1">
      <alignment horizontal="left" vertical="center"/>
    </xf>
    <xf numFmtId="0" fontId="4" fillId="11" borderId="0" xfId="0" applyFont="1" applyFill="1" applyBorder="1" applyAlignment="1">
      <alignment vertical="center"/>
    </xf>
    <xf numFmtId="167" fontId="7" fillId="7" borderId="12" xfId="1" applyNumberFormat="1" applyFont="1" applyFill="1" applyBorder="1" applyAlignment="1">
      <alignment vertical="center"/>
    </xf>
    <xf numFmtId="0" fontId="4" fillId="0" borderId="0" xfId="0" applyFont="1" applyBorder="1" applyAlignment="1">
      <alignment vertical="center"/>
    </xf>
    <xf numFmtId="0" fontId="6" fillId="8" borderId="1" xfId="0" applyFont="1" applyFill="1" applyBorder="1" applyAlignment="1">
      <alignment vertical="center" wrapText="1"/>
    </xf>
    <xf numFmtId="164" fontId="9" fillId="0" borderId="0" xfId="0" applyNumberFormat="1" applyFont="1" applyBorder="1" applyAlignment="1" applyProtection="1">
      <alignment horizontal="right" vertical="center"/>
    </xf>
    <xf numFmtId="0" fontId="10" fillId="0" borderId="0" xfId="2" applyFont="1" applyFill="1" applyBorder="1" applyAlignment="1" applyProtection="1">
      <alignment horizontal="right" vertical="center" wrapText="1"/>
    </xf>
    <xf numFmtId="0" fontId="3" fillId="11" borderId="11" xfId="0" applyFont="1" applyFill="1" applyBorder="1" applyAlignment="1">
      <alignment horizontal="left" vertical="center"/>
    </xf>
    <xf numFmtId="0" fontId="4" fillId="11" borderId="11" xfId="0" applyFont="1" applyFill="1" applyBorder="1" applyAlignment="1">
      <alignment vertical="center"/>
    </xf>
    <xf numFmtId="167" fontId="7" fillId="11" borderId="0" xfId="1" applyNumberFormat="1" applyFont="1" applyFill="1" applyBorder="1" applyAlignment="1">
      <alignment vertical="center"/>
    </xf>
    <xf numFmtId="0" fontId="8" fillId="8" borderId="4"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11" fillId="0" borderId="0" xfId="0" applyFont="1" applyBorder="1" applyAlignment="1">
      <alignment horizontal="center" vertical="center" wrapText="1"/>
    </xf>
    <xf numFmtId="0" fontId="7" fillId="0" borderId="1" xfId="0" applyFont="1" applyBorder="1" applyAlignment="1">
      <alignment horizontal="center" vertical="center"/>
    </xf>
    <xf numFmtId="0" fontId="12" fillId="0" borderId="1" xfId="0" applyFont="1" applyBorder="1" applyAlignment="1" applyProtection="1">
      <alignment horizontal="left" vertical="center"/>
    </xf>
    <xf numFmtId="164" fontId="13" fillId="0" borderId="2" xfId="0" applyNumberFormat="1" applyFont="1" applyBorder="1" applyAlignment="1" applyProtection="1">
      <alignment horizontal="right" vertical="center"/>
    </xf>
    <xf numFmtId="0" fontId="14" fillId="0" borderId="0" xfId="0" applyFont="1" applyBorder="1" applyAlignment="1">
      <alignment horizontal="right" vertical="center"/>
    </xf>
    <xf numFmtId="0" fontId="3" fillId="11" borderId="10" xfId="0" applyFont="1" applyFill="1" applyBorder="1" applyAlignment="1">
      <alignment horizontal="left" vertical="center"/>
    </xf>
    <xf numFmtId="0" fontId="12" fillId="0" borderId="4" xfId="0" applyFont="1" applyBorder="1" applyAlignment="1" applyProtection="1">
      <alignment horizontal="left" vertical="center"/>
    </xf>
    <xf numFmtId="164" fontId="13" fillId="0" borderId="0" xfId="0" applyNumberFormat="1" applyFont="1" applyBorder="1" applyAlignment="1" applyProtection="1">
      <alignment horizontal="right" vertical="center"/>
    </xf>
    <xf numFmtId="0" fontId="11" fillId="0" borderId="0" xfId="0" applyFont="1" applyBorder="1" applyAlignment="1">
      <alignment horizontal="center" vertical="center"/>
    </xf>
    <xf numFmtId="0" fontId="13" fillId="7" borderId="4" xfId="0" applyFont="1" applyFill="1" applyBorder="1" applyAlignment="1" applyProtection="1">
      <alignment horizontal="left" vertical="center"/>
    </xf>
    <xf numFmtId="10" fontId="13" fillId="2" borderId="6" xfId="0" applyNumberFormat="1" applyFont="1" applyFill="1" applyBorder="1" applyAlignment="1" applyProtection="1">
      <alignment horizontal="right" vertical="center"/>
    </xf>
    <xf numFmtId="10" fontId="13" fillId="2" borderId="0" xfId="0" applyNumberFormat="1" applyFont="1" applyFill="1" applyBorder="1" applyAlignment="1" applyProtection="1">
      <alignment horizontal="right" vertical="center"/>
    </xf>
    <xf numFmtId="0" fontId="3" fillId="11" borderId="0" xfId="0" applyFont="1" applyFill="1" applyAlignment="1">
      <alignment horizontal="left" vertical="center"/>
    </xf>
    <xf numFmtId="167" fontId="4" fillId="11" borderId="0" xfId="1" applyNumberFormat="1" applyFont="1" applyFill="1" applyBorder="1" applyAlignment="1">
      <alignment vertical="center"/>
    </xf>
    <xf numFmtId="0" fontId="4" fillId="11" borderId="0" xfId="0" applyFont="1" applyFill="1" applyAlignment="1">
      <alignment vertical="center"/>
    </xf>
    <xf numFmtId="10" fontId="7" fillId="7" borderId="12" xfId="0" applyNumberFormat="1" applyFont="1" applyFill="1" applyBorder="1" applyAlignment="1">
      <alignment vertical="center"/>
    </xf>
    <xf numFmtId="165" fontId="13" fillId="0" borderId="3" xfId="0" applyNumberFormat="1" applyFont="1" applyBorder="1" applyAlignment="1" applyProtection="1">
      <alignment horizontal="right" vertical="center"/>
    </xf>
    <xf numFmtId="0" fontId="9" fillId="11" borderId="11" xfId="0" applyFont="1" applyFill="1" applyBorder="1" applyAlignment="1">
      <alignment horizontal="left" vertical="center"/>
    </xf>
    <xf numFmtId="167" fontId="4" fillId="11" borderId="11" xfId="1" applyNumberFormat="1" applyFont="1" applyFill="1" applyBorder="1" applyAlignment="1">
      <alignment vertical="center"/>
    </xf>
    <xf numFmtId="10" fontId="15" fillId="11" borderId="0" xfId="0" applyNumberFormat="1" applyFont="1" applyFill="1" applyBorder="1" applyAlignment="1">
      <alignment vertical="center"/>
    </xf>
    <xf numFmtId="0" fontId="5" fillId="10" borderId="0" xfId="0" applyFont="1" applyFill="1"/>
    <xf numFmtId="0" fontId="5" fillId="0" borderId="0" xfId="0" applyFont="1"/>
    <xf numFmtId="0" fontId="14" fillId="5" borderId="1" xfId="0" applyFont="1" applyFill="1" applyBorder="1" applyAlignment="1">
      <alignment horizontal="left" vertical="center"/>
    </xf>
    <xf numFmtId="0" fontId="6" fillId="6"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166" fontId="12" fillId="0" borderId="1" xfId="1" applyNumberFormat="1" applyFont="1" applyBorder="1" applyAlignment="1" applyProtection="1">
      <alignment vertical="center"/>
    </xf>
    <xf numFmtId="166" fontId="17" fillId="0" borderId="1" xfId="1" applyNumberFormat="1" applyFont="1" applyBorder="1" applyAlignment="1">
      <alignment horizontal="right" vertical="center"/>
    </xf>
    <xf numFmtId="0" fontId="3" fillId="0" borderId="1" xfId="0" applyFont="1" applyBorder="1" applyAlignment="1">
      <alignment horizontal="left" vertical="center"/>
    </xf>
    <xf numFmtId="44" fontId="4" fillId="0" borderId="1" xfId="1" applyFont="1" applyBorder="1" applyAlignment="1">
      <alignment vertical="center"/>
    </xf>
    <xf numFmtId="44" fontId="4" fillId="0" borderId="1" xfId="0" applyNumberFormat="1" applyFont="1" applyBorder="1" applyAlignment="1">
      <alignment vertical="center"/>
    </xf>
    <xf numFmtId="9" fontId="3" fillId="0" borderId="1" xfId="0" applyNumberFormat="1" applyFont="1" applyBorder="1" applyAlignment="1">
      <alignment horizontal="left" vertical="center"/>
    </xf>
    <xf numFmtId="0" fontId="3" fillId="2" borderId="1" xfId="0" applyFont="1" applyFill="1" applyBorder="1" applyAlignment="1">
      <alignment horizontal="left" vertical="center"/>
    </xf>
    <xf numFmtId="0" fontId="19" fillId="7" borderId="0" xfId="0" applyFont="1" applyFill="1" applyBorder="1" applyAlignment="1">
      <alignment vertical="center"/>
    </xf>
    <xf numFmtId="0" fontId="20" fillId="7" borderId="0" xfId="0" applyFont="1" applyFill="1" applyBorder="1" applyAlignment="1">
      <alignment vertical="center"/>
    </xf>
    <xf numFmtId="0" fontId="3" fillId="3" borderId="1" xfId="0" applyFont="1" applyFill="1" applyBorder="1" applyAlignment="1">
      <alignment horizontal="left" vertical="center"/>
    </xf>
    <xf numFmtId="0" fontId="5" fillId="10" borderId="0" xfId="0" applyFont="1" applyFill="1" applyAlignment="1">
      <alignment vertical="center"/>
    </xf>
    <xf numFmtId="0" fontId="5" fillId="5" borderId="1" xfId="0" applyFont="1" applyFill="1" applyBorder="1" applyAlignment="1">
      <alignment horizontal="left" vertical="center"/>
    </xf>
    <xf numFmtId="166" fontId="5" fillId="5" borderId="1" xfId="0" applyNumberFormat="1" applyFont="1" applyFill="1" applyBorder="1" applyAlignment="1">
      <alignment vertical="center"/>
    </xf>
    <xf numFmtId="0" fontId="3" fillId="10" borderId="0" xfId="0" applyFont="1" applyFill="1" applyAlignment="1">
      <alignment vertical="center"/>
    </xf>
    <xf numFmtId="0" fontId="3" fillId="0" borderId="0" xfId="0" applyFont="1" applyAlignment="1">
      <alignment vertical="center"/>
    </xf>
    <xf numFmtId="0" fontId="5" fillId="0" borderId="0" xfId="0" applyFont="1" applyAlignment="1">
      <alignment vertical="center"/>
    </xf>
    <xf numFmtId="0" fontId="3" fillId="11" borderId="1" xfId="0" applyFont="1" applyFill="1" applyBorder="1" applyAlignment="1">
      <alignment horizontal="left" vertical="center"/>
    </xf>
    <xf numFmtId="0" fontId="4" fillId="11" borderId="1" xfId="0" applyFont="1" applyFill="1" applyBorder="1" applyAlignment="1">
      <alignment vertical="center"/>
    </xf>
    <xf numFmtId="44" fontId="4" fillId="11" borderId="1" xfId="1" applyFont="1" applyFill="1" applyBorder="1" applyAlignment="1">
      <alignment vertical="center"/>
    </xf>
    <xf numFmtId="0" fontId="21" fillId="7" borderId="0" xfId="0" applyNumberFormat="1" applyFont="1" applyFill="1" applyBorder="1" applyAlignment="1" applyProtection="1">
      <alignment horizontal="left" vertical="center"/>
    </xf>
    <xf numFmtId="0" fontId="21" fillId="7" borderId="0" xfId="0" applyNumberFormat="1" applyFont="1" applyFill="1" applyBorder="1" applyAlignment="1" applyProtection="1">
      <alignment vertical="center"/>
    </xf>
    <xf numFmtId="0" fontId="18" fillId="7" borderId="0" xfId="0" applyFont="1" applyFill="1" applyBorder="1" applyAlignment="1">
      <alignment horizontal="left" vertical="top" wrapText="1"/>
    </xf>
    <xf numFmtId="0" fontId="18" fillId="7" borderId="0" xfId="0" applyFont="1" applyFill="1" applyBorder="1" applyAlignment="1">
      <alignment horizontal="left" wrapText="1"/>
    </xf>
    <xf numFmtId="0" fontId="22" fillId="0" borderId="0" xfId="0" applyFont="1" applyAlignment="1">
      <alignment horizontal="left"/>
    </xf>
    <xf numFmtId="0" fontId="3" fillId="7" borderId="1" xfId="0" applyFont="1" applyFill="1" applyBorder="1" applyAlignment="1">
      <alignment horizontal="left" vertical="center"/>
    </xf>
    <xf numFmtId="44" fontId="4" fillId="7" borderId="1" xfId="0" applyNumberFormat="1" applyFont="1" applyFill="1" applyBorder="1" applyAlignment="1">
      <alignment vertical="center"/>
    </xf>
    <xf numFmtId="0" fontId="3" fillId="11" borderId="0" xfId="0" applyFont="1" applyFill="1" applyAlignment="1">
      <alignment horizontal="left"/>
    </xf>
    <xf numFmtId="0" fontId="4" fillId="11" borderId="0" xfId="0" applyFont="1" applyFill="1"/>
    <xf numFmtId="0" fontId="15" fillId="11" borderId="0" xfId="0" applyFont="1" applyFill="1" applyBorder="1" applyAlignment="1">
      <alignment vertical="center"/>
    </xf>
    <xf numFmtId="6" fontId="5" fillId="9" borderId="2" xfId="0" applyNumberFormat="1" applyFont="1" applyFill="1" applyBorder="1" applyAlignment="1">
      <alignment horizontal="center"/>
    </xf>
    <xf numFmtId="0" fontId="5" fillId="9" borderId="3" xfId="0" applyFont="1" applyFill="1" applyBorder="1"/>
    <xf numFmtId="6" fontId="5" fillId="9" borderId="13" xfId="0" applyNumberFormat="1" applyFont="1" applyFill="1" applyBorder="1" applyAlignment="1">
      <alignment horizontal="center"/>
    </xf>
    <xf numFmtId="44" fontId="3" fillId="2" borderId="1" xfId="0" applyNumberFormat="1" applyFont="1" applyFill="1" applyBorder="1" applyAlignment="1">
      <alignment vertical="center"/>
    </xf>
    <xf numFmtId="44" fontId="3" fillId="3" borderId="1" xfId="0" applyNumberFormat="1" applyFont="1" applyFill="1" applyBorder="1" applyAlignment="1">
      <alignment vertical="center"/>
    </xf>
    <xf numFmtId="0" fontId="23" fillId="0" borderId="0" xfId="0" applyFont="1"/>
    <xf numFmtId="0" fontId="23" fillId="0" borderId="0" xfId="0" applyFont="1" applyAlignment="1">
      <alignment horizontal="left"/>
    </xf>
    <xf numFmtId="0" fontId="24" fillId="0" borderId="0" xfId="0" applyFont="1" applyAlignment="1">
      <alignment horizontal="left"/>
    </xf>
    <xf numFmtId="0" fontId="23" fillId="0" borderId="0" xfId="0" applyFont="1" applyAlignment="1">
      <alignment horizontal="center"/>
    </xf>
    <xf numFmtId="0" fontId="23" fillId="0" borderId="0" xfId="0" applyFont="1" applyBorder="1" applyAlignment="1">
      <alignment vertical="center"/>
    </xf>
    <xf numFmtId="0" fontId="25" fillId="9" borderId="0" xfId="0" applyFont="1" applyFill="1" applyAlignment="1">
      <alignment horizontal="center" vertical="center"/>
    </xf>
    <xf numFmtId="0" fontId="23" fillId="0" borderId="0" xfId="0" applyFont="1" applyAlignment="1">
      <alignment vertical="center"/>
    </xf>
    <xf numFmtId="0" fontId="23" fillId="5" borderId="0" xfId="0" applyFont="1" applyFill="1" applyAlignment="1">
      <alignment vertical="center"/>
    </xf>
    <xf numFmtId="0" fontId="23" fillId="11" borderId="0" xfId="0" applyFont="1" applyFill="1" applyBorder="1" applyAlignment="1">
      <alignment horizontal="center" vertical="center"/>
    </xf>
    <xf numFmtId="0" fontId="26" fillId="8" borderId="1" xfId="0" applyFont="1" applyFill="1" applyBorder="1" applyAlignment="1">
      <alignment vertical="center" wrapText="1"/>
    </xf>
    <xf numFmtId="164" fontId="30" fillId="0" borderId="0" xfId="0" applyNumberFormat="1" applyFont="1" applyBorder="1" applyAlignment="1" applyProtection="1">
      <alignment horizontal="right" vertical="center"/>
    </xf>
    <xf numFmtId="0" fontId="31" fillId="0" borderId="0" xfId="2" applyFont="1" applyFill="1" applyBorder="1" applyAlignment="1" applyProtection="1">
      <alignment horizontal="right" vertical="center" wrapText="1"/>
    </xf>
    <xf numFmtId="0" fontId="23" fillId="11" borderId="11" xfId="0" applyFont="1" applyFill="1" applyBorder="1" applyAlignment="1">
      <alignment horizontal="center" vertical="center"/>
    </xf>
    <xf numFmtId="0" fontId="29" fillId="8" borderId="4" xfId="0" applyFont="1" applyFill="1" applyBorder="1" applyAlignment="1">
      <alignment horizontal="center" vertical="center" wrapText="1"/>
    </xf>
    <xf numFmtId="0" fontId="29" fillId="8" borderId="8" xfId="0" applyFont="1" applyFill="1" applyBorder="1" applyAlignment="1">
      <alignment horizontal="center" vertical="center" wrapText="1"/>
    </xf>
    <xf numFmtId="167" fontId="23" fillId="11" borderId="0" xfId="1" applyNumberFormat="1" applyFont="1" applyFill="1" applyBorder="1" applyAlignment="1">
      <alignment horizontal="center" vertical="center"/>
    </xf>
    <xf numFmtId="0" fontId="23" fillId="11" borderId="0" xfId="0" applyFont="1" applyFill="1" applyAlignment="1">
      <alignment horizontal="center" vertical="center"/>
    </xf>
    <xf numFmtId="0" fontId="32" fillId="0" borderId="0" xfId="0" applyFont="1" applyBorder="1" applyAlignment="1">
      <alignment horizontal="center" vertical="center" wrapText="1"/>
    </xf>
    <xf numFmtId="0" fontId="28" fillId="0" borderId="1" xfId="0" applyFont="1" applyBorder="1" applyAlignment="1">
      <alignment horizontal="center" vertical="center"/>
    </xf>
    <xf numFmtId="0" fontId="33" fillId="0" borderId="0" xfId="0" applyFont="1" applyBorder="1" applyAlignment="1">
      <alignment horizontal="right" vertical="center"/>
    </xf>
    <xf numFmtId="0" fontId="30" fillId="11" borderId="11" xfId="0" applyFont="1" applyFill="1" applyBorder="1" applyAlignment="1">
      <alignment horizontal="left" vertical="center"/>
    </xf>
    <xf numFmtId="167" fontId="23" fillId="11" borderId="11" xfId="1" applyNumberFormat="1" applyFont="1" applyFill="1" applyBorder="1" applyAlignment="1">
      <alignment horizontal="center" vertical="center"/>
    </xf>
    <xf numFmtId="0" fontId="32" fillId="0" borderId="0" xfId="0" applyFont="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5" fillId="0" borderId="0" xfId="0" applyFont="1"/>
    <xf numFmtId="0" fontId="33" fillId="5" borderId="1" xfId="0" applyFont="1" applyFill="1" applyBorder="1" applyAlignment="1">
      <alignment horizontal="left" vertical="center"/>
    </xf>
    <xf numFmtId="0" fontId="34" fillId="5" borderId="1" xfId="0" applyFont="1" applyFill="1" applyBorder="1" applyAlignment="1">
      <alignment horizontal="left" vertical="center" wrapText="1"/>
    </xf>
    <xf numFmtId="0" fontId="36" fillId="7" borderId="0" xfId="0" applyFont="1" applyFill="1" applyBorder="1"/>
    <xf numFmtId="0" fontId="37" fillId="7" borderId="0" xfId="0" applyFont="1" applyFill="1" applyBorder="1" applyAlignment="1">
      <alignment vertical="center"/>
    </xf>
    <xf numFmtId="0" fontId="38" fillId="0" borderId="0" xfId="0" applyFont="1" applyAlignment="1">
      <alignment horizontal="left"/>
    </xf>
    <xf numFmtId="0" fontId="24" fillId="0" borderId="0" xfId="0" applyFont="1"/>
    <xf numFmtId="0" fontId="39" fillId="7" borderId="0" xfId="0" applyNumberFormat="1" applyFont="1" applyFill="1" applyBorder="1" applyAlignment="1" applyProtection="1">
      <alignment horizontal="left"/>
    </xf>
    <xf numFmtId="0" fontId="39" fillId="7" borderId="0" xfId="0" applyNumberFormat="1" applyFont="1" applyFill="1" applyBorder="1" applyAlignment="1" applyProtection="1"/>
    <xf numFmtId="0" fontId="35" fillId="7" borderId="0" xfId="0" applyFont="1" applyFill="1" applyBorder="1" applyAlignment="1">
      <alignment horizontal="left" vertical="top" wrapText="1"/>
    </xf>
    <xf numFmtId="0" fontId="35" fillId="7" borderId="0" xfId="0" applyFont="1" applyFill="1" applyBorder="1" applyAlignment="1">
      <alignment horizontal="left" wrapText="1"/>
    </xf>
    <xf numFmtId="0" fontId="40" fillId="9" borderId="2" xfId="0" applyFont="1" applyFill="1" applyBorder="1" applyAlignment="1">
      <alignment vertical="center"/>
    </xf>
    <xf numFmtId="0" fontId="23" fillId="0" borderId="0" xfId="0" applyFont="1" applyAlignment="1">
      <alignment horizontal="right"/>
    </xf>
    <xf numFmtId="0" fontId="25" fillId="9" borderId="0" xfId="0" applyFont="1" applyFill="1" applyAlignment="1">
      <alignment horizontal="right" vertical="center"/>
    </xf>
    <xf numFmtId="10" fontId="27" fillId="11" borderId="0" xfId="0" applyNumberFormat="1" applyFont="1" applyFill="1" applyBorder="1" applyAlignment="1">
      <alignment horizontal="right" vertical="center"/>
    </xf>
    <xf numFmtId="0" fontId="27" fillId="7" borderId="0" xfId="0" applyFont="1" applyFill="1" applyBorder="1" applyAlignment="1">
      <alignment horizontal="right" vertical="center"/>
    </xf>
    <xf numFmtId="0" fontId="41" fillId="2" borderId="1" xfId="0" applyFont="1" applyFill="1" applyBorder="1" applyAlignment="1">
      <alignment horizontal="left"/>
    </xf>
    <xf numFmtId="44" fontId="41" fillId="2" borderId="1" xfId="1" applyFont="1" applyFill="1" applyBorder="1" applyAlignment="1">
      <alignment horizontal="center"/>
    </xf>
    <xf numFmtId="44" fontId="41" fillId="2" borderId="1" xfId="1" applyFont="1" applyFill="1" applyBorder="1" applyAlignment="1">
      <alignment horizontal="right"/>
    </xf>
    <xf numFmtId="0" fontId="41" fillId="0" borderId="1" xfId="0" applyFont="1" applyBorder="1" applyAlignment="1">
      <alignment horizontal="left"/>
    </xf>
    <xf numFmtId="44" fontId="42" fillId="0" borderId="1" xfId="1" applyFont="1" applyBorder="1" applyAlignment="1">
      <alignment horizontal="center"/>
    </xf>
    <xf numFmtId="44" fontId="42" fillId="0" borderId="1" xfId="1" applyFont="1" applyBorder="1" applyAlignment="1">
      <alignment horizontal="right"/>
    </xf>
    <xf numFmtId="0" fontId="41" fillId="3" borderId="1" xfId="0" applyFont="1" applyFill="1" applyBorder="1" applyAlignment="1">
      <alignment horizontal="left"/>
    </xf>
    <xf numFmtId="44" fontId="41" fillId="3" borderId="1" xfId="1" applyFont="1" applyFill="1" applyBorder="1" applyAlignment="1">
      <alignment horizontal="center"/>
    </xf>
    <xf numFmtId="44" fontId="41" fillId="3" borderId="1" xfId="1" applyFont="1" applyFill="1" applyBorder="1" applyAlignment="1">
      <alignment horizontal="right"/>
    </xf>
    <xf numFmtId="0" fontId="43" fillId="5" borderId="1" xfId="0" applyFont="1" applyFill="1" applyBorder="1" applyAlignment="1">
      <alignment horizontal="left"/>
    </xf>
    <xf numFmtId="44" fontId="43" fillId="5" borderId="1" xfId="1" applyFont="1" applyFill="1" applyBorder="1" applyAlignment="1">
      <alignment horizontal="center"/>
    </xf>
    <xf numFmtId="44" fontId="43" fillId="5" borderId="1" xfId="1" applyFont="1" applyFill="1" applyBorder="1" applyAlignment="1">
      <alignment horizontal="right"/>
    </xf>
    <xf numFmtId="0" fontId="41" fillId="4" borderId="1" xfId="0" applyFont="1" applyFill="1" applyBorder="1" applyAlignment="1">
      <alignment horizontal="left"/>
    </xf>
    <xf numFmtId="44" fontId="42" fillId="4" borderId="1" xfId="1" applyFont="1" applyFill="1" applyBorder="1" applyAlignment="1">
      <alignment horizontal="center"/>
    </xf>
    <xf numFmtId="44" fontId="42" fillId="4" borderId="1" xfId="1" applyFont="1" applyFill="1" applyBorder="1" applyAlignment="1">
      <alignment horizontal="right"/>
    </xf>
    <xf numFmtId="0" fontId="41" fillId="11" borderId="9" xfId="0" applyFont="1" applyFill="1" applyBorder="1" applyAlignment="1">
      <alignment horizontal="left" vertical="center"/>
    </xf>
    <xf numFmtId="0" fontId="41" fillId="11" borderId="11" xfId="0" applyFont="1" applyFill="1" applyBorder="1" applyAlignment="1">
      <alignment horizontal="left" vertical="center"/>
    </xf>
    <xf numFmtId="0" fontId="41" fillId="11" borderId="0" xfId="0" applyFont="1" applyFill="1" applyAlignment="1">
      <alignment horizontal="left" vertical="center"/>
    </xf>
    <xf numFmtId="167" fontId="42" fillId="7" borderId="12" xfId="1" applyNumberFormat="1" applyFont="1" applyFill="1" applyBorder="1" applyAlignment="1">
      <alignment horizontal="right" vertical="center"/>
    </xf>
    <xf numFmtId="167" fontId="42" fillId="11" borderId="0" xfId="1" applyNumberFormat="1" applyFont="1" applyFill="1" applyBorder="1" applyAlignment="1">
      <alignment horizontal="right" vertical="center"/>
    </xf>
    <xf numFmtId="10" fontId="42" fillId="7" borderId="12" xfId="0" applyNumberFormat="1" applyFont="1" applyFill="1" applyBorder="1" applyAlignment="1">
      <alignment horizontal="right" vertical="center"/>
    </xf>
    <xf numFmtId="0" fontId="44" fillId="0" borderId="1" xfId="0" applyFont="1" applyBorder="1" applyAlignment="1" applyProtection="1">
      <alignment horizontal="left" vertical="center"/>
    </xf>
    <xf numFmtId="164" fontId="24" fillId="0" borderId="2" xfId="0" applyNumberFormat="1" applyFont="1" applyBorder="1" applyAlignment="1" applyProtection="1">
      <alignment horizontal="right" vertical="center"/>
    </xf>
    <xf numFmtId="0" fontId="44" fillId="0" borderId="4" xfId="0" applyFont="1" applyBorder="1" applyAlignment="1" applyProtection="1">
      <alignment horizontal="left" vertical="center"/>
    </xf>
    <xf numFmtId="164" fontId="24" fillId="0" borderId="0" xfId="0" applyNumberFormat="1" applyFont="1" applyBorder="1" applyAlignment="1" applyProtection="1">
      <alignment horizontal="right" vertical="center"/>
    </xf>
    <xf numFmtId="0" fontId="24" fillId="7" borderId="4" xfId="0" applyFont="1" applyFill="1" applyBorder="1" applyAlignment="1" applyProtection="1">
      <alignment horizontal="left" vertical="center"/>
    </xf>
    <xf numFmtId="10" fontId="24" fillId="2" borderId="6" xfId="0" applyNumberFormat="1" applyFont="1" applyFill="1" applyBorder="1" applyAlignment="1" applyProtection="1">
      <alignment horizontal="right" vertical="center"/>
    </xf>
    <xf numFmtId="10" fontId="24" fillId="2" borderId="0" xfId="0" applyNumberFormat="1" applyFont="1" applyFill="1" applyBorder="1" applyAlignment="1" applyProtection="1">
      <alignment horizontal="right" vertical="center"/>
    </xf>
    <xf numFmtId="0" fontId="44" fillId="0" borderId="1" xfId="0" applyFont="1" applyBorder="1" applyAlignment="1" applyProtection="1">
      <alignment horizontal="center" vertical="center"/>
    </xf>
    <xf numFmtId="165" fontId="24" fillId="0" borderId="3" xfId="0" applyNumberFormat="1" applyFont="1" applyBorder="1" applyAlignment="1" applyProtection="1">
      <alignment horizontal="center" vertical="center"/>
    </xf>
    <xf numFmtId="165" fontId="24" fillId="0" borderId="3" xfId="0" applyNumberFormat="1" applyFont="1" applyBorder="1" applyAlignment="1" applyProtection="1">
      <alignment horizontal="right" vertical="center"/>
    </xf>
    <xf numFmtId="0" fontId="45" fillId="6" borderId="1" xfId="0" applyFont="1" applyFill="1" applyBorder="1" applyAlignment="1">
      <alignment horizontal="center" vertical="center" wrapText="1"/>
    </xf>
    <xf numFmtId="166" fontId="44" fillId="0" borderId="1" xfId="1" applyNumberFormat="1" applyFont="1" applyBorder="1" applyAlignment="1" applyProtection="1">
      <alignment vertical="center"/>
    </xf>
    <xf numFmtId="166" fontId="46" fillId="0" borderId="1" xfId="1" applyNumberFormat="1" applyFont="1" applyBorder="1" applyAlignment="1">
      <alignment horizontal="right" vertical="center"/>
    </xf>
    <xf numFmtId="0" fontId="40" fillId="9" borderId="0" xfId="0" applyFont="1" applyFill="1" applyAlignment="1">
      <alignment horizontal="left" vertical="center"/>
    </xf>
    <xf numFmtId="0" fontId="47" fillId="0" borderId="0" xfId="0" applyFont="1"/>
    <xf numFmtId="0" fontId="48" fillId="0" borderId="0" xfId="0" applyFont="1" applyAlignment="1"/>
    <xf numFmtId="0" fontId="47" fillId="0" borderId="0" xfId="0" applyFont="1" applyAlignment="1">
      <alignment horizontal="left"/>
    </xf>
    <xf numFmtId="0" fontId="40" fillId="9" borderId="1" xfId="0" applyFont="1" applyFill="1" applyBorder="1" applyAlignment="1">
      <alignment horizontal="center" vertical="center" wrapText="1"/>
    </xf>
    <xf numFmtId="6" fontId="40" fillId="9" borderId="2" xfId="0" applyNumberFormat="1" applyFont="1" applyFill="1" applyBorder="1" applyAlignment="1">
      <alignment horizontal="center" vertical="center"/>
    </xf>
    <xf numFmtId="6" fontId="40" fillId="9" borderId="13" xfId="0" applyNumberFormat="1" applyFont="1" applyFill="1" applyBorder="1" applyAlignment="1">
      <alignment horizontal="center" vertical="center"/>
    </xf>
    <xf numFmtId="0" fontId="23" fillId="10" borderId="0" xfId="0" applyFont="1" applyFill="1"/>
    <xf numFmtId="0" fontId="23" fillId="10" borderId="0" xfId="0" applyFont="1" applyFill="1" applyBorder="1"/>
    <xf numFmtId="0" fontId="24" fillId="10" borderId="0" xfId="0" applyFont="1" applyFill="1" applyAlignment="1">
      <alignment horizontal="left"/>
    </xf>
    <xf numFmtId="0" fontId="23" fillId="10" borderId="0" xfId="0" applyFont="1" applyFill="1" applyAlignment="1">
      <alignment horizontal="center"/>
    </xf>
    <xf numFmtId="0" fontId="23" fillId="10" borderId="0" xfId="0" applyFont="1" applyFill="1" applyAlignment="1">
      <alignment horizontal="right"/>
    </xf>
    <xf numFmtId="0" fontId="23" fillId="10" borderId="0" xfId="0" applyFont="1" applyFill="1" applyBorder="1" applyAlignment="1">
      <alignment vertical="center"/>
    </xf>
    <xf numFmtId="0" fontId="23" fillId="10" borderId="0" xfId="0" applyFont="1" applyFill="1" applyAlignment="1">
      <alignment vertical="center"/>
    </xf>
    <xf numFmtId="0" fontId="23" fillId="10" borderId="0" xfId="0" applyFont="1" applyFill="1" applyAlignment="1">
      <alignment horizontal="center" vertical="center"/>
    </xf>
    <xf numFmtId="0" fontId="25" fillId="10" borderId="0" xfId="0" applyFont="1" applyFill="1"/>
    <xf numFmtId="0" fontId="23" fillId="7" borderId="0" xfId="0" applyFont="1" applyFill="1"/>
    <xf numFmtId="0" fontId="48" fillId="0" borderId="0" xfId="0" applyFont="1" applyAlignment="1">
      <alignment horizontal="center"/>
    </xf>
    <xf numFmtId="0" fontId="29" fillId="8" borderId="4"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35" fillId="7" borderId="0" xfId="0" applyNumberFormat="1" applyFont="1" applyFill="1" applyBorder="1" applyAlignment="1" applyProtection="1">
      <alignment horizontal="left" vertical="top" wrapText="1"/>
    </xf>
    <xf numFmtId="0" fontId="26" fillId="5" borderId="1" xfId="0" applyFont="1" applyFill="1" applyBorder="1" applyAlignment="1">
      <alignment vertical="center" wrapText="1"/>
    </xf>
    <xf numFmtId="0" fontId="5" fillId="9" borderId="1" xfId="0" applyFont="1" applyFill="1" applyBorder="1" applyAlignment="1">
      <alignment horizontal="center" vertical="center" wrapText="1"/>
    </xf>
    <xf numFmtId="0" fontId="18" fillId="7" borderId="0" xfId="0" applyNumberFormat="1" applyFont="1" applyFill="1" applyBorder="1" applyAlignment="1" applyProtection="1">
      <alignment horizontal="left" vertical="center" wrapText="1"/>
    </xf>
    <xf numFmtId="0" fontId="3" fillId="11" borderId="7" xfId="0" applyFont="1" applyFill="1" applyBorder="1" applyAlignment="1">
      <alignment horizontal="left" vertical="center"/>
    </xf>
    <xf numFmtId="0" fontId="3" fillId="11" borderId="0" xfId="0" applyFont="1" applyFill="1" applyBorder="1" applyAlignment="1">
      <alignment horizontal="left" vertical="center"/>
    </xf>
    <xf numFmtId="0" fontId="5" fillId="9" borderId="2" xfId="0" applyFont="1" applyFill="1" applyBorder="1" applyAlignment="1">
      <alignment horizontal="left" vertical="center"/>
    </xf>
    <xf numFmtId="0" fontId="5" fillId="9" borderId="3" xfId="0" applyFont="1" applyFill="1" applyBorder="1" applyAlignment="1">
      <alignment horizontal="left" vertical="center"/>
    </xf>
    <xf numFmtId="0" fontId="6" fillId="5" borderId="1" xfId="0" applyFont="1" applyFill="1" applyBorder="1" applyAlignment="1">
      <alignment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15"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27"/>
  <sheetViews>
    <sheetView showGridLines="0" tabSelected="1" topLeftCell="A3" workbookViewId="0">
      <selection activeCell="J10" sqref="J10"/>
    </sheetView>
  </sheetViews>
  <sheetFormatPr defaultRowHeight="16.5" x14ac:dyDescent="0.35"/>
  <cols>
    <col min="1" max="1" width="9.140625" style="85"/>
    <col min="2" max="2" width="2.7109375" style="85" customWidth="1"/>
    <col min="3" max="3" width="47.7109375" style="87" bestFit="1" customWidth="1"/>
    <col min="4" max="5" width="20.7109375" style="88" customWidth="1"/>
    <col min="6" max="6" width="20.7109375" style="122" customWidth="1"/>
    <col min="7" max="7" width="2.7109375" style="85" customWidth="1"/>
    <col min="8" max="11" width="3.7109375" style="85" customWidth="1"/>
    <col min="12" max="12" width="16.85546875" style="85" customWidth="1"/>
    <col min="13" max="14" width="3.7109375" style="85" customWidth="1"/>
    <col min="15" max="17" width="14.85546875" style="85" customWidth="1"/>
    <col min="18" max="20" width="3.7109375" style="85" customWidth="1"/>
    <col min="21" max="21" width="21.28515625" style="86" customWidth="1"/>
    <col min="22" max="22" width="23.140625" style="85" customWidth="1"/>
    <col min="23" max="23" width="12" style="85" customWidth="1"/>
    <col min="24" max="24" width="23.7109375" style="85" customWidth="1"/>
    <col min="25" max="25" width="12" style="85" customWidth="1"/>
    <col min="26" max="26" width="23.7109375" style="85" customWidth="1"/>
    <col min="27" max="27" width="12" style="85" customWidth="1"/>
    <col min="28" max="16384" width="9.140625" style="85"/>
  </cols>
  <sheetData>
    <row r="1" spans="2:29" s="161" customFormat="1" ht="30" x14ac:dyDescent="0.65">
      <c r="C1" s="177" t="s">
        <v>44</v>
      </c>
      <c r="D1" s="177"/>
      <c r="E1" s="177"/>
      <c r="F1" s="177"/>
      <c r="G1" s="162"/>
      <c r="H1" s="162"/>
      <c r="I1" s="162"/>
      <c r="J1" s="162"/>
      <c r="K1" s="162"/>
      <c r="L1" s="162"/>
      <c r="U1" s="163"/>
    </row>
    <row r="3" spans="2:29" x14ac:dyDescent="0.35">
      <c r="B3" s="168"/>
      <c r="C3" s="169"/>
      <c r="D3" s="170"/>
      <c r="E3" s="170"/>
      <c r="F3" s="171"/>
      <c r="G3" s="167"/>
    </row>
    <row r="4" spans="2:29" s="91" customFormat="1" ht="35.1" customHeight="1" x14ac:dyDescent="0.25">
      <c r="B4" s="172"/>
      <c r="C4" s="160" t="s">
        <v>28</v>
      </c>
      <c r="D4" s="90"/>
      <c r="E4" s="90"/>
      <c r="F4" s="123"/>
      <c r="G4" s="173"/>
      <c r="U4" s="181" t="s">
        <v>8</v>
      </c>
      <c r="V4" s="181"/>
      <c r="W4" s="181"/>
      <c r="X4" s="92"/>
      <c r="Y4" s="92"/>
      <c r="Z4" s="92"/>
      <c r="AA4" s="92"/>
    </row>
    <row r="5" spans="2:29" s="91" customFormat="1" ht="30" customHeight="1" x14ac:dyDescent="0.25">
      <c r="B5" s="172"/>
      <c r="C5" s="141" t="s">
        <v>31</v>
      </c>
      <c r="D5" s="93"/>
      <c r="E5" s="93"/>
      <c r="F5" s="144">
        <v>270000</v>
      </c>
      <c r="G5" s="173"/>
      <c r="L5" s="89"/>
      <c r="U5" s="94"/>
      <c r="V5" s="178" t="s">
        <v>0</v>
      </c>
      <c r="W5" s="179"/>
      <c r="X5" s="178" t="s">
        <v>26</v>
      </c>
      <c r="Y5" s="179"/>
      <c r="Z5" s="178" t="s">
        <v>27</v>
      </c>
      <c r="AA5" s="179"/>
      <c r="AB5" s="95"/>
      <c r="AC5" s="96"/>
    </row>
    <row r="6" spans="2:29" s="91" customFormat="1" ht="5.0999999999999996" customHeight="1" x14ac:dyDescent="0.25">
      <c r="B6" s="172"/>
      <c r="C6" s="142"/>
      <c r="D6" s="97"/>
      <c r="E6" s="97"/>
      <c r="F6" s="145"/>
      <c r="G6" s="173"/>
      <c r="L6" s="89"/>
      <c r="U6" s="94"/>
      <c r="V6" s="98"/>
      <c r="W6" s="99"/>
      <c r="X6" s="98"/>
      <c r="Y6" s="99"/>
      <c r="Z6" s="98"/>
      <c r="AA6" s="99"/>
      <c r="AB6" s="95"/>
      <c r="AC6" s="96"/>
    </row>
    <row r="7" spans="2:29" s="91" customFormat="1" ht="30" customHeight="1" x14ac:dyDescent="0.25">
      <c r="B7" s="173"/>
      <c r="C7" s="143" t="s">
        <v>32</v>
      </c>
      <c r="D7" s="100"/>
      <c r="E7" s="101"/>
      <c r="F7" s="146">
        <v>2.69E-2</v>
      </c>
      <c r="G7" s="173"/>
      <c r="L7" s="102"/>
      <c r="U7" s="103" t="s">
        <v>25</v>
      </c>
      <c r="V7" s="147" t="s">
        <v>9</v>
      </c>
      <c r="W7" s="148">
        <f>D14</f>
        <v>265734</v>
      </c>
      <c r="X7" s="147" t="s">
        <v>9</v>
      </c>
      <c r="Y7" s="148">
        <f>E14</f>
        <v>248832</v>
      </c>
      <c r="Z7" s="147" t="s">
        <v>9</v>
      </c>
      <c r="AA7" s="148">
        <f>F14</f>
        <v>216000</v>
      </c>
      <c r="AB7" s="104"/>
    </row>
    <row r="8" spans="2:29" s="91" customFormat="1" ht="5.0999999999999996" customHeight="1" thickBot="1" x14ac:dyDescent="0.3">
      <c r="B8" s="173"/>
      <c r="C8" s="105"/>
      <c r="D8" s="106"/>
      <c r="E8" s="97"/>
      <c r="F8" s="124"/>
      <c r="G8" s="173"/>
      <c r="L8" s="102"/>
      <c r="U8" s="103"/>
      <c r="V8" s="149"/>
      <c r="W8" s="150"/>
      <c r="X8" s="149"/>
      <c r="Y8" s="150"/>
      <c r="Z8" s="149"/>
      <c r="AA8" s="150"/>
      <c r="AB8" s="104"/>
    </row>
    <row r="9" spans="2:29" s="91" customFormat="1" ht="9.75" customHeight="1" thickBot="1" x14ac:dyDescent="0.4">
      <c r="B9" s="173"/>
      <c r="C9" s="87"/>
      <c r="D9" s="88"/>
      <c r="E9" s="88"/>
      <c r="F9" s="125"/>
      <c r="G9" s="173"/>
      <c r="L9" s="107"/>
      <c r="U9" s="103"/>
      <c r="V9" s="151" t="s">
        <v>10</v>
      </c>
      <c r="W9" s="152">
        <f>F7</f>
        <v>2.69E-2</v>
      </c>
      <c r="X9" s="151" t="s">
        <v>10</v>
      </c>
      <c r="Y9" s="152">
        <f>F7</f>
        <v>2.69E-2</v>
      </c>
      <c r="Z9" s="151" t="s">
        <v>10</v>
      </c>
      <c r="AA9" s="152">
        <f>F7</f>
        <v>2.69E-2</v>
      </c>
      <c r="AB9" s="104"/>
    </row>
    <row r="10" spans="2:29" s="91" customFormat="1" ht="39.950000000000003" customHeight="1" x14ac:dyDescent="0.25">
      <c r="B10" s="173"/>
      <c r="C10" s="121" t="s">
        <v>29</v>
      </c>
      <c r="D10" s="164" t="s">
        <v>41</v>
      </c>
      <c r="E10" s="165" t="s">
        <v>42</v>
      </c>
      <c r="F10" s="166" t="s">
        <v>45</v>
      </c>
      <c r="G10" s="173"/>
      <c r="L10" s="107"/>
      <c r="U10" s="103"/>
      <c r="V10" s="151"/>
      <c r="W10" s="153"/>
      <c r="X10" s="151"/>
      <c r="Y10" s="153"/>
      <c r="Z10" s="151"/>
      <c r="AA10" s="153"/>
      <c r="AB10" s="104"/>
    </row>
    <row r="11" spans="2:29" s="108" customFormat="1" ht="30" customHeight="1" x14ac:dyDescent="0.55000000000000004">
      <c r="B11" s="174"/>
      <c r="C11" s="126" t="s">
        <v>43</v>
      </c>
      <c r="D11" s="127">
        <f>IF(F5&gt;500000, ((500000*5%)+((F5-500000)*10%)), (F5*5%))</f>
        <v>13500</v>
      </c>
      <c r="E11" s="127">
        <f>F5*10%</f>
        <v>27000</v>
      </c>
      <c r="F11" s="128">
        <f>F5*20%</f>
        <v>54000</v>
      </c>
      <c r="G11" s="174"/>
      <c r="L11" s="109"/>
      <c r="U11" s="103"/>
      <c r="V11" s="154" t="s">
        <v>11</v>
      </c>
      <c r="W11" s="155">
        <v>25</v>
      </c>
      <c r="X11" s="154" t="s">
        <v>11</v>
      </c>
      <c r="Y11" s="155">
        <v>25</v>
      </c>
      <c r="Z11" s="154" t="s">
        <v>11</v>
      </c>
      <c r="AA11" s="155">
        <v>25</v>
      </c>
    </row>
    <row r="12" spans="2:29" s="91" customFormat="1" ht="30" customHeight="1" x14ac:dyDescent="0.55000000000000004">
      <c r="B12" s="173"/>
      <c r="C12" s="129" t="s">
        <v>7</v>
      </c>
      <c r="D12" s="130">
        <f>F5-D11</f>
        <v>256500</v>
      </c>
      <c r="E12" s="130">
        <f>F5-E11</f>
        <v>243000</v>
      </c>
      <c r="F12" s="131">
        <f>F5-F11</f>
        <v>216000</v>
      </c>
      <c r="G12" s="173"/>
      <c r="L12" s="89"/>
      <c r="U12" s="103"/>
      <c r="V12" s="147"/>
      <c r="W12" s="156"/>
      <c r="X12" s="147"/>
      <c r="Y12" s="156"/>
      <c r="Z12" s="147"/>
      <c r="AA12" s="156"/>
    </row>
    <row r="13" spans="2:29" s="110" customFormat="1" ht="30" customHeight="1" x14ac:dyDescent="0.55000000000000004">
      <c r="B13" s="175"/>
      <c r="C13" s="129" t="s">
        <v>35</v>
      </c>
      <c r="D13" s="130">
        <f>D12*3.6%</f>
        <v>9234.0000000000018</v>
      </c>
      <c r="E13" s="130">
        <f>E12*2.4%</f>
        <v>5832</v>
      </c>
      <c r="F13" s="131">
        <f>F12*0%</f>
        <v>0</v>
      </c>
      <c r="G13" s="167"/>
      <c r="U13" s="111"/>
      <c r="V13" s="157" t="s">
        <v>12</v>
      </c>
      <c r="W13" s="157" t="s">
        <v>13</v>
      </c>
      <c r="X13" s="157" t="s">
        <v>12</v>
      </c>
      <c r="Y13" s="157" t="s">
        <v>13</v>
      </c>
      <c r="Z13" s="157" t="s">
        <v>12</v>
      </c>
      <c r="AA13" s="157" t="s">
        <v>13</v>
      </c>
    </row>
    <row r="14" spans="2:29" ht="30" customHeight="1" x14ac:dyDescent="0.55000000000000004">
      <c r="B14" s="167"/>
      <c r="C14" s="132" t="s">
        <v>4</v>
      </c>
      <c r="D14" s="133">
        <f>D13+D12</f>
        <v>265734</v>
      </c>
      <c r="E14" s="133">
        <f>E13+E12</f>
        <v>248832</v>
      </c>
      <c r="F14" s="134">
        <f>F13+F12</f>
        <v>216000</v>
      </c>
      <c r="G14" s="167"/>
      <c r="U14" s="112" t="s">
        <v>14</v>
      </c>
      <c r="V14" s="158">
        <f>PMT(V20, W11*W20, -W7 )</f>
        <v>1215.6886532358769</v>
      </c>
      <c r="W14" s="159">
        <f>NPER( V20, -V14, W$7) * V14 - W$7</f>
        <v>98972.595970763126</v>
      </c>
      <c r="X14" s="158">
        <f>PMT(X20, Y11*Y20, -Y7 )</f>
        <v>1138.3648270902095</v>
      </c>
      <c r="Y14" s="159">
        <f>NPER( X20, -X14, Y$7) * X14 - Y$7</f>
        <v>92677.448127062933</v>
      </c>
      <c r="Z14" s="158">
        <f>PMT(Z20, AA11*AA20, -AA7 )</f>
        <v>988.16391240469579</v>
      </c>
      <c r="AA14" s="159">
        <f>NPER( Z20, -Z14, AA$7) * Z14 - AA$7</f>
        <v>80449.173721408821</v>
      </c>
    </row>
    <row r="15" spans="2:29" ht="30" customHeight="1" x14ac:dyDescent="0.55000000000000004">
      <c r="B15" s="167"/>
      <c r="C15" s="135" t="s">
        <v>5</v>
      </c>
      <c r="D15" s="136">
        <f>V14</f>
        <v>1215.6886532358769</v>
      </c>
      <c r="E15" s="136">
        <f>X14</f>
        <v>1138.3648270902095</v>
      </c>
      <c r="F15" s="137">
        <f>Z14</f>
        <v>988.16391240469579</v>
      </c>
      <c r="G15" s="167"/>
      <c r="U15" s="112" t="s">
        <v>15</v>
      </c>
      <c r="V15" s="158">
        <f>PMT(V21, W11*W21, -W7 )</f>
        <v>560.75070700124866</v>
      </c>
      <c r="W15" s="159">
        <f>NPER( V21, -V15, W$7) * V15 - W$7</f>
        <v>98753.95955081156</v>
      </c>
      <c r="X15" s="158">
        <f>PMT(X21, Y11*Y21, -Y7 )</f>
        <v>525.08418164229909</v>
      </c>
      <c r="Y15" s="159">
        <f>NPER( X21, -X15, Y$7) * X15 - Y$7</f>
        <v>92472.718067494396</v>
      </c>
      <c r="Z15" s="158">
        <f>PMT(Z21, AA11*AA21, -AA7 )</f>
        <v>455.8022410089402</v>
      </c>
      <c r="AA15" s="159">
        <f>NPER( Z21, -Z15, AA$7) * Z15 - AA$7</f>
        <v>80271.456655811111</v>
      </c>
    </row>
    <row r="16" spans="2:29" ht="30" customHeight="1" x14ac:dyDescent="0.55000000000000004">
      <c r="B16" s="167"/>
      <c r="C16" s="138" t="s">
        <v>6</v>
      </c>
      <c r="D16" s="139"/>
      <c r="E16" s="139">
        <f>E15-D15</f>
        <v>-77.323826145667454</v>
      </c>
      <c r="F16" s="140">
        <f>F15-D15</f>
        <v>-227.52474083118113</v>
      </c>
      <c r="G16" s="167"/>
      <c r="U16" s="112" t="s">
        <v>16</v>
      </c>
      <c r="V16" s="158">
        <f>PMT(V22, W11*W22, -W7 )</f>
        <v>280.3033167073732</v>
      </c>
      <c r="W16" s="159">
        <f>NPER( V22, -V16, W$7) * V16 - W$7</f>
        <v>98660.31171958521</v>
      </c>
      <c r="X16" s="158">
        <f>PMT(X22, Y11*Y22, -Y7 )</f>
        <v>262.47463592513219</v>
      </c>
      <c r="Y16" s="159">
        <f>NPER( X22, -X16, Y$7) * X16 - Y$7</f>
        <v>92385.026702671894</v>
      </c>
      <c r="Z16" s="158">
        <f>PMT(Z22, AA11*AA22, -AA7 )</f>
        <v>227.84256590723282</v>
      </c>
      <c r="AA16" s="159">
        <f>NPER( Z22, -Z16, AA$7) * Z16 - AA$7</f>
        <v>80195.335679402691</v>
      </c>
    </row>
    <row r="17" spans="2:27" ht="16.5" customHeight="1" x14ac:dyDescent="0.35">
      <c r="B17" s="167"/>
      <c r="C17" s="169"/>
      <c r="D17" s="170"/>
      <c r="E17" s="170"/>
      <c r="F17" s="171"/>
      <c r="G17" s="167"/>
      <c r="U17" s="112" t="s">
        <v>17</v>
      </c>
      <c r="V17" s="158">
        <f>V14/ 2</f>
        <v>607.84432661793846</v>
      </c>
      <c r="W17" s="159">
        <f>NPER( V23, -V17, W$7) * V17 - W$7</f>
        <v>87344.426690410706</v>
      </c>
      <c r="X17" s="158">
        <f>X14/ 2</f>
        <v>569.18241354510474</v>
      </c>
      <c r="Y17" s="159">
        <f>NPER( X23, -X17, Y$7) * X17 - Y$7</f>
        <v>81788.888069378678</v>
      </c>
      <c r="Z17" s="158">
        <f>Z14/ 2</f>
        <v>494.0819562023479</v>
      </c>
      <c r="AA17" s="159">
        <f>NPER( Z23, -Z17, AA$7) * Z17 - AA$7</f>
        <v>70997.29867133568</v>
      </c>
    </row>
    <row r="18" spans="2:27" ht="15" customHeight="1" x14ac:dyDescent="0.35">
      <c r="C18" s="115" t="s">
        <v>36</v>
      </c>
      <c r="U18" s="112" t="s">
        <v>18</v>
      </c>
      <c r="V18" s="158">
        <f>V14/ 4</f>
        <v>303.92216330896923</v>
      </c>
      <c r="W18" s="159">
        <f>NPER( V24, -V18, W$7) * V18 - W$7</f>
        <v>87220.347036181833</v>
      </c>
      <c r="X18" s="158">
        <f>X14/ 4</f>
        <v>284.59120677255237</v>
      </c>
      <c r="Y18" s="159">
        <f>NPER( X24, -X18, Y$7) * X18 - Y$7</f>
        <v>81672.700496388075</v>
      </c>
      <c r="Z18" s="158">
        <f>Z14/ 4</f>
        <v>247.04097810117395</v>
      </c>
      <c r="AA18" s="159">
        <f>NPER( Z24, -Z18, AA$7) * Z18 - AA$7</f>
        <v>70896.441403114703</v>
      </c>
    </row>
    <row r="19" spans="2:27" ht="15" customHeight="1" x14ac:dyDescent="0.35">
      <c r="C19" s="115" t="s">
        <v>37</v>
      </c>
      <c r="U19" s="180" t="s">
        <v>21</v>
      </c>
      <c r="V19" s="113" t="s">
        <v>19</v>
      </c>
      <c r="W19" s="113" t="s">
        <v>20</v>
      </c>
      <c r="X19" s="113" t="s">
        <v>19</v>
      </c>
      <c r="Y19" s="113" t="s">
        <v>20</v>
      </c>
      <c r="Z19" s="113" t="s">
        <v>19</v>
      </c>
      <c r="AA19" s="113" t="s">
        <v>20</v>
      </c>
    </row>
    <row r="20" spans="2:27" ht="15" customHeight="1" x14ac:dyDescent="0.35">
      <c r="U20" s="180"/>
      <c r="V20" s="114">
        <f>((1+W9/2)^(2/W20)-1)</f>
        <v>2.2292062775393084E-3</v>
      </c>
      <c r="W20" s="114">
        <v>12</v>
      </c>
      <c r="X20" s="114">
        <f>((1+Y9/2)^(2/Y20)-1)</f>
        <v>2.2292062775393084E-3</v>
      </c>
      <c r="Y20" s="114">
        <v>12</v>
      </c>
      <c r="Z20" s="114">
        <f>((1+AA9/2)^(2/AA20)-1)</f>
        <v>2.2292062775393084E-3</v>
      </c>
      <c r="AA20" s="114">
        <v>12</v>
      </c>
    </row>
    <row r="21" spans="2:27" x14ac:dyDescent="0.35">
      <c r="U21" s="180"/>
      <c r="V21" s="114">
        <f>((1+W9/2)^(2/W21)-1)</f>
        <v>1.0282476461835888E-3</v>
      </c>
      <c r="W21" s="114">
        <v>26</v>
      </c>
      <c r="X21" s="114">
        <f>((1+Y9/2)^(2/Y21)-1)</f>
        <v>1.0282476461835888E-3</v>
      </c>
      <c r="Y21" s="114">
        <v>26</v>
      </c>
      <c r="Z21" s="114">
        <f>((1+AA9/2)^(2/AA21)-1)</f>
        <v>1.0282476461835888E-3</v>
      </c>
      <c r="AA21" s="114">
        <v>26</v>
      </c>
    </row>
    <row r="22" spans="2:27" x14ac:dyDescent="0.35">
      <c r="U22" s="180"/>
      <c r="V22" s="114">
        <f>((1+W9/2)^(2/W22)-1)</f>
        <v>5.1399172934285531E-4</v>
      </c>
      <c r="W22" s="114">
        <v>52</v>
      </c>
      <c r="X22" s="114">
        <f>((1+Y9/2)^(2/Y22)-1)</f>
        <v>5.1399172934285531E-4</v>
      </c>
      <c r="Y22" s="114">
        <v>52</v>
      </c>
      <c r="Z22" s="114">
        <f>((1+AA9/2)^(2/AA22)-1)</f>
        <v>5.1399172934285531E-4</v>
      </c>
      <c r="AA22" s="114">
        <v>52</v>
      </c>
    </row>
    <row r="23" spans="2:27" s="110" customFormat="1" x14ac:dyDescent="0.35">
      <c r="C23" s="87"/>
      <c r="D23" s="88"/>
      <c r="E23" s="88"/>
      <c r="F23" s="122"/>
      <c r="G23" s="116"/>
      <c r="H23" s="116"/>
      <c r="I23" s="116"/>
      <c r="J23" s="116"/>
      <c r="K23" s="116"/>
      <c r="L23" s="116"/>
      <c r="M23" s="116"/>
      <c r="N23" s="116"/>
      <c r="O23" s="116"/>
      <c r="P23" s="116"/>
      <c r="Q23" s="116"/>
      <c r="R23" s="116"/>
      <c r="S23" s="116"/>
      <c r="T23" s="116"/>
      <c r="U23" s="180"/>
      <c r="V23" s="114">
        <f>((1+W9/2)^(2/W23)-1)</f>
        <v>1.0282476461835888E-3</v>
      </c>
      <c r="W23" s="114">
        <v>26</v>
      </c>
      <c r="X23" s="114">
        <f>((1+Y9/2)^(2/Y23)-1)</f>
        <v>1.0282476461835888E-3</v>
      </c>
      <c r="Y23" s="114">
        <v>26</v>
      </c>
      <c r="Z23" s="114">
        <f>((1+AA9/2)^(2/AA23)-1)</f>
        <v>1.0282476461835888E-3</v>
      </c>
      <c r="AA23" s="114">
        <v>26</v>
      </c>
    </row>
    <row r="24" spans="2:27" x14ac:dyDescent="0.35">
      <c r="U24" s="180"/>
      <c r="V24" s="114">
        <f>((1+W9/2)^(2/W24)-1)</f>
        <v>5.1399172934285531E-4</v>
      </c>
      <c r="W24" s="114">
        <v>52</v>
      </c>
      <c r="X24" s="114">
        <f>((1+Y9/2)^(2/Y24)-1)</f>
        <v>5.1399172934285531E-4</v>
      </c>
      <c r="Y24" s="114">
        <v>52</v>
      </c>
      <c r="Z24" s="114">
        <f>((1+AA9/2)^(2/AA24)-1)</f>
        <v>5.1399172934285531E-4</v>
      </c>
      <c r="AA24" s="114">
        <v>52</v>
      </c>
    </row>
    <row r="25" spans="2:27" ht="15" customHeight="1" x14ac:dyDescent="0.35">
      <c r="U25" s="117"/>
      <c r="V25" s="118"/>
      <c r="W25" s="118"/>
      <c r="X25" s="118"/>
      <c r="Y25" s="118"/>
      <c r="Z25" s="118"/>
      <c r="AA25" s="118"/>
    </row>
    <row r="26" spans="2:27" ht="14.25" customHeight="1" x14ac:dyDescent="0.35">
      <c r="U26" s="119" t="s">
        <v>24</v>
      </c>
      <c r="V26" s="120" t="s">
        <v>22</v>
      </c>
      <c r="W26" s="120" t="s">
        <v>23</v>
      </c>
      <c r="X26" s="120" t="s">
        <v>22</v>
      </c>
      <c r="Y26" s="120" t="s">
        <v>23</v>
      </c>
      <c r="Z26" s="120" t="s">
        <v>22</v>
      </c>
      <c r="AA26" s="120" t="s">
        <v>23</v>
      </c>
    </row>
    <row r="27" spans="2:27" ht="14.25" customHeight="1" x14ac:dyDescent="0.35">
      <c r="B27" s="176"/>
      <c r="U27" s="119"/>
      <c r="V27" s="120"/>
      <c r="W27" s="120"/>
      <c r="X27" s="120"/>
      <c r="Y27" s="120"/>
      <c r="Z27" s="120"/>
      <c r="AA27" s="120"/>
    </row>
  </sheetData>
  <mergeCells count="6">
    <mergeCell ref="C1:F1"/>
    <mergeCell ref="X5:Y5"/>
    <mergeCell ref="Z5:AA5"/>
    <mergeCell ref="U19:U24"/>
    <mergeCell ref="U4:W4"/>
    <mergeCell ref="V5:W5"/>
  </mergeCells>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B30"/>
  <sheetViews>
    <sheetView showGridLines="0" topLeftCell="A4" zoomScaleNormal="100" workbookViewId="0">
      <selection activeCell="H8" sqref="H8"/>
    </sheetView>
  </sheetViews>
  <sheetFormatPr defaultRowHeight="15" x14ac:dyDescent="0.25"/>
  <cols>
    <col min="1" max="1" width="1.7109375" style="2" customWidth="1"/>
    <col min="2" max="2" width="45" style="4" bestFit="1" customWidth="1"/>
    <col min="3" max="5" width="20.7109375" style="2" customWidth="1"/>
    <col min="6" max="6" width="1.7109375" style="2" customWidth="1"/>
    <col min="7" max="10" width="3.7109375" style="2" customWidth="1"/>
    <col min="11" max="11" width="16.85546875" style="2" customWidth="1"/>
    <col min="12" max="13" width="3.7109375" style="2" customWidth="1"/>
    <col min="14" max="16" width="14.85546875" style="2" customWidth="1"/>
    <col min="17" max="19" width="3.7109375" style="2" customWidth="1"/>
    <col min="20" max="20" width="21.28515625" style="3" customWidth="1"/>
    <col min="21" max="21" width="23.140625" style="2" customWidth="1"/>
    <col min="22" max="22" width="12" style="2" customWidth="1"/>
    <col min="23" max="23" width="23.7109375" style="2" customWidth="1"/>
    <col min="24" max="24" width="12" style="2" customWidth="1"/>
    <col min="25" max="25" width="23.7109375" style="2" customWidth="1"/>
    <col min="26" max="26" width="12" style="2" customWidth="1"/>
    <col min="27" max="16384" width="9.140625" style="2"/>
  </cols>
  <sheetData>
    <row r="2" spans="1:28" ht="18" x14ac:dyDescent="0.25">
      <c r="A2" s="191" t="s">
        <v>39</v>
      </c>
      <c r="B2" s="191"/>
      <c r="C2" s="191"/>
      <c r="D2" s="191"/>
      <c r="E2" s="191"/>
      <c r="F2" s="191"/>
      <c r="G2" s="1"/>
      <c r="H2" s="1"/>
      <c r="I2" s="1"/>
      <c r="J2" s="1"/>
      <c r="K2" s="1"/>
    </row>
    <row r="3" spans="1:28" ht="24.75" customHeight="1" x14ac:dyDescent="0.25"/>
    <row r="4" spans="1:28" ht="10.5" customHeight="1" x14ac:dyDescent="0.25">
      <c r="A4" s="5"/>
      <c r="B4" s="6"/>
      <c r="C4" s="7"/>
      <c r="D4" s="7"/>
      <c r="E4" s="7"/>
      <c r="F4" s="7"/>
    </row>
    <row r="5" spans="1:28" s="12" customFormat="1" ht="27.75" customHeight="1" x14ac:dyDescent="0.25">
      <c r="A5" s="8"/>
      <c r="B5" s="9" t="s">
        <v>28</v>
      </c>
      <c r="C5" s="10"/>
      <c r="D5" s="10"/>
      <c r="E5" s="10"/>
      <c r="F5" s="11"/>
      <c r="T5" s="188" t="s">
        <v>8</v>
      </c>
      <c r="U5" s="188"/>
      <c r="V5" s="188"/>
      <c r="W5" s="13"/>
      <c r="X5" s="13"/>
      <c r="Y5" s="13"/>
      <c r="Z5" s="13"/>
    </row>
    <row r="6" spans="1:28" s="12" customFormat="1" ht="20.100000000000001" customHeight="1" x14ac:dyDescent="0.25">
      <c r="A6" s="8"/>
      <c r="B6" s="14" t="s">
        <v>31</v>
      </c>
      <c r="C6" s="15"/>
      <c r="D6" s="15"/>
      <c r="E6" s="16">
        <v>250000</v>
      </c>
      <c r="F6" s="11"/>
      <c r="K6" s="17"/>
      <c r="T6" s="18"/>
      <c r="U6" s="189" t="s">
        <v>0</v>
      </c>
      <c r="V6" s="190"/>
      <c r="W6" s="189" t="s">
        <v>26</v>
      </c>
      <c r="X6" s="190"/>
      <c r="Y6" s="189" t="s">
        <v>27</v>
      </c>
      <c r="Z6" s="190"/>
      <c r="AA6" s="19"/>
      <c r="AB6" s="20"/>
    </row>
    <row r="7" spans="1:28" s="12" customFormat="1" ht="5.0999999999999996" customHeight="1" x14ac:dyDescent="0.25">
      <c r="A7" s="8"/>
      <c r="B7" s="21"/>
      <c r="C7" s="22"/>
      <c r="D7" s="22"/>
      <c r="E7" s="23"/>
      <c r="F7" s="11"/>
      <c r="K7" s="17"/>
      <c r="T7" s="18"/>
      <c r="U7" s="24"/>
      <c r="V7" s="25"/>
      <c r="W7" s="24"/>
      <c r="X7" s="25"/>
      <c r="Y7" s="24"/>
      <c r="Z7" s="25"/>
      <c r="AA7" s="19"/>
      <c r="AB7" s="20"/>
    </row>
    <row r="8" spans="1:28" s="12" customFormat="1" ht="20.100000000000001" customHeight="1" x14ac:dyDescent="0.25">
      <c r="A8" s="11"/>
      <c r="B8" s="184" t="s">
        <v>33</v>
      </c>
      <c r="C8" s="185"/>
      <c r="D8" s="15"/>
      <c r="E8" s="16">
        <v>15000</v>
      </c>
      <c r="F8" s="11"/>
      <c r="K8" s="26"/>
      <c r="T8" s="27" t="s">
        <v>25</v>
      </c>
      <c r="U8" s="28" t="s">
        <v>9</v>
      </c>
      <c r="V8" s="29">
        <f>C23</f>
        <v>246050</v>
      </c>
      <c r="W8" s="28" t="s">
        <v>9</v>
      </c>
      <c r="X8" s="29">
        <f>D23</f>
        <v>260813</v>
      </c>
      <c r="Y8" s="28" t="s">
        <v>9</v>
      </c>
      <c r="Z8" s="29">
        <f>E23</f>
        <v>285418</v>
      </c>
      <c r="AA8" s="30"/>
    </row>
    <row r="9" spans="1:28" s="12" customFormat="1" ht="5.0999999999999996" customHeight="1" thickBot="1" x14ac:dyDescent="0.3">
      <c r="A9" s="11"/>
      <c r="B9" s="31"/>
      <c r="C9" s="21"/>
      <c r="D9" s="22"/>
      <c r="E9" s="23"/>
      <c r="F9" s="11"/>
      <c r="K9" s="26"/>
      <c r="T9" s="27"/>
      <c r="U9" s="32"/>
      <c r="V9" s="33"/>
      <c r="W9" s="32"/>
      <c r="X9" s="33"/>
      <c r="Y9" s="32"/>
      <c r="Z9" s="33"/>
      <c r="AA9" s="30"/>
    </row>
    <row r="10" spans="1:28" s="12" customFormat="1" ht="20.100000000000001" customHeight="1" thickBot="1" x14ac:dyDescent="0.3">
      <c r="A10" s="11"/>
      <c r="B10" s="184" t="s">
        <v>34</v>
      </c>
      <c r="C10" s="185"/>
      <c r="D10" s="15"/>
      <c r="E10" s="16">
        <v>40000</v>
      </c>
      <c r="F10" s="11"/>
      <c r="K10" s="34"/>
      <c r="T10" s="27"/>
      <c r="U10" s="35" t="s">
        <v>10</v>
      </c>
      <c r="V10" s="36">
        <f>E12</f>
        <v>2.7900000000000001E-2</v>
      </c>
      <c r="W10" s="35" t="s">
        <v>10</v>
      </c>
      <c r="X10" s="36">
        <f>E12</f>
        <v>2.7900000000000001E-2</v>
      </c>
      <c r="Y10" s="35" t="s">
        <v>10</v>
      </c>
      <c r="Z10" s="36">
        <f>E12</f>
        <v>2.7900000000000001E-2</v>
      </c>
      <c r="AA10" s="30"/>
    </row>
    <row r="11" spans="1:28" s="12" customFormat="1" ht="5.0999999999999996" customHeight="1" x14ac:dyDescent="0.25">
      <c r="A11" s="11"/>
      <c r="B11" s="21"/>
      <c r="C11" s="21"/>
      <c r="D11" s="22"/>
      <c r="E11" s="23"/>
      <c r="F11" s="11"/>
      <c r="K11" s="34"/>
      <c r="T11" s="27"/>
      <c r="U11" s="35"/>
      <c r="V11" s="37"/>
      <c r="W11" s="35"/>
      <c r="X11" s="37"/>
      <c r="Y11" s="35"/>
      <c r="Z11" s="37"/>
      <c r="AA11" s="30"/>
    </row>
    <row r="12" spans="1:28" s="12" customFormat="1" ht="20.100000000000001" customHeight="1" x14ac:dyDescent="0.25">
      <c r="A12" s="11"/>
      <c r="B12" s="38" t="s">
        <v>32</v>
      </c>
      <c r="C12" s="39"/>
      <c r="D12" s="40"/>
      <c r="E12" s="41">
        <v>2.7900000000000001E-2</v>
      </c>
      <c r="F12" s="11"/>
      <c r="K12" s="17"/>
      <c r="T12" s="27"/>
      <c r="U12" s="28" t="s">
        <v>11</v>
      </c>
      <c r="V12" s="42">
        <v>25</v>
      </c>
      <c r="W12" s="28" t="s">
        <v>11</v>
      </c>
      <c r="X12" s="42">
        <v>25</v>
      </c>
      <c r="Y12" s="28" t="s">
        <v>11</v>
      </c>
      <c r="Z12" s="42">
        <v>25</v>
      </c>
    </row>
    <row r="13" spans="1:28" s="12" customFormat="1" ht="5.0999999999999996" customHeight="1" x14ac:dyDescent="0.25">
      <c r="A13" s="11"/>
      <c r="B13" s="43"/>
      <c r="C13" s="44"/>
      <c r="D13" s="22"/>
      <c r="E13" s="45"/>
      <c r="F13" s="11"/>
      <c r="K13" s="17"/>
      <c r="T13" s="27"/>
      <c r="U13" s="28"/>
      <c r="V13" s="42"/>
      <c r="W13" s="28"/>
      <c r="X13" s="42"/>
      <c r="Y13" s="28"/>
      <c r="Z13" s="42"/>
    </row>
    <row r="14" spans="1:28" s="47" customFormat="1" ht="6.75" customHeight="1" x14ac:dyDescent="0.25">
      <c r="A14" s="46"/>
      <c r="B14" s="77"/>
      <c r="C14" s="78"/>
      <c r="D14" s="78"/>
      <c r="E14" s="79"/>
      <c r="F14" s="7"/>
      <c r="T14" s="48"/>
      <c r="U14" s="49" t="s">
        <v>12</v>
      </c>
      <c r="V14" s="49" t="s">
        <v>13</v>
      </c>
      <c r="W14" s="49" t="s">
        <v>12</v>
      </c>
      <c r="X14" s="49" t="s">
        <v>13</v>
      </c>
      <c r="Y14" s="49" t="s">
        <v>12</v>
      </c>
      <c r="Z14" s="49" t="s">
        <v>13</v>
      </c>
    </row>
    <row r="15" spans="1:28" x14ac:dyDescent="0.25">
      <c r="A15" s="7"/>
      <c r="B15" s="186" t="s">
        <v>29</v>
      </c>
      <c r="C15" s="182" t="s">
        <v>30</v>
      </c>
      <c r="D15" s="80">
        <f>E8</f>
        <v>15000</v>
      </c>
      <c r="E15" s="82">
        <f>E10</f>
        <v>40000</v>
      </c>
      <c r="F15" s="7"/>
      <c r="T15" s="50" t="s">
        <v>14</v>
      </c>
      <c r="U15" s="51">
        <f>PMT(U21, V12*V21, -V8 )</f>
        <v>1138.0705029033047</v>
      </c>
      <c r="V15" s="52">
        <f>NPER( U21, -U15, V$8) * U15 - V$8</f>
        <v>95371.150870991347</v>
      </c>
      <c r="W15" s="51">
        <f>PMT(W21, X12*X21, -X8 )</f>
        <v>1206.3547330775029</v>
      </c>
      <c r="X15" s="52">
        <f>NPER( W21, -W15, X$8) * W15 - X$8</f>
        <v>101093.41992325097</v>
      </c>
      <c r="Y15" s="51">
        <f>PMT(Y21, Z12*Z21, -Z8 )</f>
        <v>1320.1617833678333</v>
      </c>
      <c r="Z15" s="52">
        <f>NPER( Y21, -Y15, Z$8) * Y15 - Z$8</f>
        <v>110630.53501034999</v>
      </c>
    </row>
    <row r="16" spans="1:28" x14ac:dyDescent="0.25">
      <c r="A16" s="7"/>
      <c r="B16" s="187"/>
      <c r="C16" s="182"/>
      <c r="D16" s="81" t="s">
        <v>1</v>
      </c>
      <c r="E16" s="81" t="s">
        <v>1</v>
      </c>
      <c r="F16" s="7"/>
      <c r="T16" s="50" t="s">
        <v>15</v>
      </c>
      <c r="U16" s="51">
        <f>PMT(U22, V12*V22, -V8 )</f>
        <v>524.93679634008265</v>
      </c>
      <c r="V16" s="52">
        <f>NPER( U22, -U16, V$8) * U16 - V$8</f>
        <v>95158.917621053755</v>
      </c>
      <c r="W16" s="51">
        <f>PMT(W22, X12*X22, -X8 )</f>
        <v>556.43300412048757</v>
      </c>
      <c r="X16" s="52">
        <f>NPER( W22, -W16, X$8) * W16 - X$8</f>
        <v>100868.45267831709</v>
      </c>
      <c r="Y16" s="51">
        <f>PMT(Y22, Z12*Z22, -Z8 )</f>
        <v>608.9266837544958</v>
      </c>
      <c r="Z16" s="52">
        <f>NPER( Y22, -Y16, Z$8) * Y16 - Z$8</f>
        <v>110384.34444042254</v>
      </c>
    </row>
    <row r="17" spans="1:26" s="12" customFormat="1" ht="24.95" customHeight="1" x14ac:dyDescent="0.25">
      <c r="A17" s="11"/>
      <c r="B17" s="53" t="s">
        <v>2</v>
      </c>
      <c r="C17" s="54">
        <f>E6</f>
        <v>250000</v>
      </c>
      <c r="D17" s="55">
        <f>C17+D15</f>
        <v>265000</v>
      </c>
      <c r="E17" s="55">
        <f>C17+E15</f>
        <v>290000</v>
      </c>
      <c r="F17" s="11"/>
      <c r="T17" s="50" t="s">
        <v>16</v>
      </c>
      <c r="U17" s="51">
        <f>PMT(U23, V12*V23, -V8 )</f>
        <v>262.39847258127645</v>
      </c>
      <c r="V17" s="52">
        <f>NPER( U23, -U17, V$8) * U17 - V$8</f>
        <v>95068.014355659368</v>
      </c>
      <c r="W17" s="51">
        <f>PMT(W23, X12*X23, -X8 )</f>
        <v>278.14238093615302</v>
      </c>
      <c r="X17" s="52">
        <f>NPER( W23, -W17, X$8) * W17 - X$8</f>
        <v>100772.09521699895</v>
      </c>
      <c r="Y17" s="51">
        <f>PMT(Y23, Z12*Z23, -Z8 )</f>
        <v>304.38222819428069</v>
      </c>
      <c r="Z17" s="52">
        <f>NPER( Y23, -Y17, Z$8) * Y17 - Z$8</f>
        <v>110278.89665256487</v>
      </c>
    </row>
    <row r="18" spans="1:26" s="12" customFormat="1" ht="24.95" hidden="1" customHeight="1" x14ac:dyDescent="0.25">
      <c r="A18" s="11"/>
      <c r="B18" s="56">
        <v>0.05</v>
      </c>
      <c r="C18" s="54">
        <f>IF(C17&gt;500000, (500000*5%), (C17*5%))</f>
        <v>12500</v>
      </c>
      <c r="D18" s="54">
        <f t="shared" ref="D18:E18" si="0">IF(D17&gt;500000, (500000*5%), (D17*5%))</f>
        <v>13250</v>
      </c>
      <c r="E18" s="54">
        <f t="shared" si="0"/>
        <v>14500</v>
      </c>
      <c r="F18" s="11"/>
      <c r="T18" s="50" t="s">
        <v>17</v>
      </c>
      <c r="U18" s="51">
        <f>U15/ 2</f>
        <v>569.03525145165236</v>
      </c>
      <c r="V18" s="52">
        <f>NPER( U24, -U18, V$8) * U18 - V$8</f>
        <v>84002.653394373716</v>
      </c>
      <c r="W18" s="51">
        <f>W15/ 2</f>
        <v>603.17736653875147</v>
      </c>
      <c r="X18" s="52">
        <f>NPER( W24, -W18, X$8) * W18 - X$8</f>
        <v>89042.812598036195</v>
      </c>
      <c r="Y18" s="51">
        <f>Y15/ 2</f>
        <v>660.08089168391666</v>
      </c>
      <c r="Z18" s="52">
        <f>NPER( Y24, -Y18, Z$8) * Y18 - Z$8</f>
        <v>97443.077937473601</v>
      </c>
    </row>
    <row r="19" spans="1:26" s="12" customFormat="1" ht="24.95" hidden="1" customHeight="1" x14ac:dyDescent="0.25">
      <c r="A19" s="11"/>
      <c r="B19" s="56">
        <v>0.1</v>
      </c>
      <c r="C19" s="54">
        <f>IF(C17&gt;500000, ((C17-500000)*10%), 0)</f>
        <v>0</v>
      </c>
      <c r="D19" s="54">
        <f t="shared" ref="D19:E19" si="1">IF(D17&gt;500000, ((D17-500000)*10%), 0)</f>
        <v>0</v>
      </c>
      <c r="E19" s="54">
        <f t="shared" si="1"/>
        <v>0</v>
      </c>
      <c r="F19" s="11"/>
      <c r="T19" s="50" t="s">
        <v>18</v>
      </c>
      <c r="U19" s="51">
        <f>U15/ 4</f>
        <v>284.51762572582618</v>
      </c>
      <c r="V19" s="52">
        <f>NPER( U25, -U19, V$8) * U19 - V$8</f>
        <v>83880.977491016558</v>
      </c>
      <c r="W19" s="51">
        <f>W15/ 4</f>
        <v>301.58868326937574</v>
      </c>
      <c r="X19" s="52">
        <f>NPER( W25, -W19, X$8) * W19 - X$8</f>
        <v>88913.836140477564</v>
      </c>
      <c r="Y19" s="51">
        <f>Y15/ 4</f>
        <v>330.04044584195833</v>
      </c>
      <c r="Z19" s="52">
        <f>NPER( Y25, -Y19, Z$8) * Y19 - Z$8</f>
        <v>97301.933889579144</v>
      </c>
    </row>
    <row r="20" spans="1:26" s="12" customFormat="1" ht="24.95" customHeight="1" x14ac:dyDescent="0.25">
      <c r="A20" s="11"/>
      <c r="B20" s="57" t="s">
        <v>38</v>
      </c>
      <c r="C20" s="83">
        <f>SUM(C18:C19)</f>
        <v>12500</v>
      </c>
      <c r="D20" s="83">
        <f t="shared" ref="D20:E20" si="2">SUM(D18:D19)</f>
        <v>13250</v>
      </c>
      <c r="E20" s="83">
        <f t="shared" si="2"/>
        <v>14500</v>
      </c>
      <c r="F20" s="11"/>
      <c r="T20" s="183" t="s">
        <v>21</v>
      </c>
      <c r="U20" s="58" t="s">
        <v>19</v>
      </c>
      <c r="V20" s="58" t="s">
        <v>20</v>
      </c>
      <c r="W20" s="58" t="s">
        <v>19</v>
      </c>
      <c r="X20" s="58" t="s">
        <v>20</v>
      </c>
      <c r="Y20" s="58" t="s">
        <v>19</v>
      </c>
      <c r="Z20" s="58" t="s">
        <v>20</v>
      </c>
    </row>
    <row r="21" spans="1:26" s="12" customFormat="1" ht="24.95" customHeight="1" x14ac:dyDescent="0.25">
      <c r="A21" s="11"/>
      <c r="B21" s="53" t="s">
        <v>7</v>
      </c>
      <c r="C21" s="55">
        <f>C17-C20</f>
        <v>237500</v>
      </c>
      <c r="D21" s="55">
        <f t="shared" ref="D21:E21" si="3">D17-D20</f>
        <v>251750</v>
      </c>
      <c r="E21" s="55">
        <f t="shared" si="3"/>
        <v>275500</v>
      </c>
      <c r="F21" s="11"/>
      <c r="T21" s="183"/>
      <c r="U21" s="59">
        <f>((1+V10/2)^(2/V21)-1)</f>
        <v>2.3116000185297025E-3</v>
      </c>
      <c r="V21" s="59">
        <v>12</v>
      </c>
      <c r="W21" s="59">
        <f>((1+X10/2)^(2/X21)-1)</f>
        <v>2.3116000185297025E-3</v>
      </c>
      <c r="X21" s="59">
        <v>12</v>
      </c>
      <c r="Y21" s="59">
        <f>((1+Z10/2)^(2/Z21)-1)</f>
        <v>2.3116000185297025E-3</v>
      </c>
      <c r="Z21" s="59">
        <v>12</v>
      </c>
    </row>
    <row r="22" spans="1:26" s="12" customFormat="1" ht="24.95" customHeight="1" x14ac:dyDescent="0.25">
      <c r="A22" s="11"/>
      <c r="B22" s="53" t="s">
        <v>35</v>
      </c>
      <c r="C22" s="55">
        <f>C21*3.6%</f>
        <v>8550.0000000000018</v>
      </c>
      <c r="D22" s="55">
        <f>D21*3.6%</f>
        <v>9063.0000000000018</v>
      </c>
      <c r="E22" s="55">
        <f>E21*3.6%</f>
        <v>9918.0000000000018</v>
      </c>
      <c r="F22" s="11"/>
      <c r="T22" s="183"/>
      <c r="U22" s="59">
        <f>((1+V10/2)^(2/V22)-1)</f>
        <v>1.0662291176610772E-3</v>
      </c>
      <c r="V22" s="59">
        <v>26</v>
      </c>
      <c r="W22" s="59">
        <f>((1+X10/2)^(2/X22)-1)</f>
        <v>1.0662291176610772E-3</v>
      </c>
      <c r="X22" s="59">
        <v>26</v>
      </c>
      <c r="Y22" s="59">
        <f>((1+Z10/2)^(2/Z22)-1)</f>
        <v>1.0662291176610772E-3</v>
      </c>
      <c r="Z22" s="59">
        <v>26</v>
      </c>
    </row>
    <row r="23" spans="1:26" s="12" customFormat="1" ht="24.95" customHeight="1" x14ac:dyDescent="0.25">
      <c r="A23" s="11"/>
      <c r="B23" s="75" t="s">
        <v>4</v>
      </c>
      <c r="C23" s="76">
        <f>C22+C21</f>
        <v>246050</v>
      </c>
      <c r="D23" s="76">
        <f>D22+D21</f>
        <v>260813</v>
      </c>
      <c r="E23" s="76">
        <f>E22+E21</f>
        <v>285418</v>
      </c>
      <c r="F23" s="11"/>
      <c r="T23" s="183"/>
      <c r="U23" s="59">
        <f>((1+V10/2)^(2/V23)-1)</f>
        <v>5.3297252897221981E-4</v>
      </c>
      <c r="V23" s="59">
        <v>52</v>
      </c>
      <c r="W23" s="59">
        <f>((1+X10/2)^(2/X23)-1)</f>
        <v>5.3297252897221981E-4</v>
      </c>
      <c r="X23" s="59">
        <v>52</v>
      </c>
      <c r="Y23" s="59">
        <f>((1+Z10/2)^(2/Z23)-1)</f>
        <v>5.3297252897221981E-4</v>
      </c>
      <c r="Z23" s="59">
        <v>52</v>
      </c>
    </row>
    <row r="24" spans="1:26" s="66" customFormat="1" ht="24.95" customHeight="1" x14ac:dyDescent="0.25">
      <c r="A24" s="61"/>
      <c r="B24" s="62" t="s">
        <v>5</v>
      </c>
      <c r="C24" s="63">
        <f>U15</f>
        <v>1138.0705029033047</v>
      </c>
      <c r="D24" s="63">
        <f>W15</f>
        <v>1206.3547330775029</v>
      </c>
      <c r="E24" s="63">
        <f>Y15</f>
        <v>1320.1617833678333</v>
      </c>
      <c r="F24" s="64"/>
      <c r="G24" s="65"/>
      <c r="H24" s="65"/>
      <c r="I24" s="65"/>
      <c r="J24" s="65"/>
      <c r="K24" s="65"/>
      <c r="L24" s="65"/>
      <c r="M24" s="65"/>
      <c r="N24" s="65"/>
      <c r="O24" s="65"/>
      <c r="P24" s="65"/>
      <c r="Q24" s="65"/>
      <c r="R24" s="65"/>
      <c r="S24" s="65"/>
      <c r="T24" s="183"/>
      <c r="U24" s="59">
        <f>((1+V10/2)^(2/V24)-1)</f>
        <v>1.0662291176610772E-3</v>
      </c>
      <c r="V24" s="59">
        <v>26</v>
      </c>
      <c r="W24" s="59">
        <f>((1+X10/2)^(2/X24)-1)</f>
        <v>1.0662291176610772E-3</v>
      </c>
      <c r="X24" s="59">
        <v>26</v>
      </c>
      <c r="Y24" s="59">
        <f>((1+Z10/2)^(2/Z24)-1)</f>
        <v>1.0662291176610772E-3</v>
      </c>
      <c r="Z24" s="59">
        <v>26</v>
      </c>
    </row>
    <row r="25" spans="1:26" s="12" customFormat="1" ht="24.95" customHeight="1" x14ac:dyDescent="0.25">
      <c r="A25" s="11"/>
      <c r="B25" s="67" t="s">
        <v>6</v>
      </c>
      <c r="C25" s="68"/>
      <c r="D25" s="69">
        <f>D24-C24</f>
        <v>68.284230174198228</v>
      </c>
      <c r="E25" s="69">
        <f>E24-C24</f>
        <v>182.09128046452861</v>
      </c>
      <c r="F25" s="11"/>
      <c r="T25" s="183"/>
      <c r="U25" s="59">
        <f>((1+V10/2)^(2/V25)-1)</f>
        <v>5.3297252897221981E-4</v>
      </c>
      <c r="V25" s="59">
        <v>52</v>
      </c>
      <c r="W25" s="59">
        <f>((1+X10/2)^(2/X25)-1)</f>
        <v>5.3297252897221981E-4</v>
      </c>
      <c r="X25" s="59">
        <v>52</v>
      </c>
      <c r="Y25" s="59">
        <f>((1+Z10/2)^(2/Z25)-1)</f>
        <v>5.3297252897221981E-4</v>
      </c>
      <c r="Z25" s="59">
        <v>52</v>
      </c>
    </row>
    <row r="26" spans="1:26" s="12" customFormat="1" ht="24.95" customHeight="1" x14ac:dyDescent="0.25">
      <c r="A26" s="11"/>
      <c r="B26" s="60" t="s">
        <v>3</v>
      </c>
      <c r="C26" s="84">
        <f>C21-C21</f>
        <v>0</v>
      </c>
      <c r="D26" s="84">
        <f>D21-C21</f>
        <v>14250</v>
      </c>
      <c r="E26" s="84">
        <f>E21-C21</f>
        <v>38000</v>
      </c>
      <c r="F26" s="11"/>
      <c r="T26" s="70"/>
      <c r="U26" s="71"/>
      <c r="V26" s="71"/>
      <c r="W26" s="71"/>
      <c r="X26" s="71"/>
      <c r="Y26" s="71"/>
      <c r="Z26" s="71"/>
    </row>
    <row r="27" spans="1:26" ht="10.5" customHeight="1" x14ac:dyDescent="0.25">
      <c r="A27" s="7"/>
      <c r="B27" s="6"/>
      <c r="C27" s="7"/>
      <c r="D27" s="7"/>
      <c r="E27" s="7"/>
      <c r="F27" s="7"/>
      <c r="T27" s="72" t="s">
        <v>24</v>
      </c>
      <c r="U27" s="73" t="s">
        <v>22</v>
      </c>
      <c r="V27" s="73" t="s">
        <v>23</v>
      </c>
      <c r="W27" s="73" t="s">
        <v>22</v>
      </c>
      <c r="X27" s="73" t="s">
        <v>23</v>
      </c>
      <c r="Y27" s="73" t="s">
        <v>22</v>
      </c>
      <c r="Z27" s="73" t="s">
        <v>23</v>
      </c>
    </row>
    <row r="28" spans="1:26" ht="14.25" customHeight="1" x14ac:dyDescent="0.25">
      <c r="B28" s="74" t="s">
        <v>40</v>
      </c>
      <c r="T28" s="72"/>
      <c r="U28" s="73"/>
      <c r="V28" s="73"/>
      <c r="W28" s="73"/>
      <c r="X28" s="73"/>
      <c r="Y28" s="73"/>
      <c r="Z28" s="73"/>
    </row>
    <row r="29" spans="1:26" x14ac:dyDescent="0.25">
      <c r="B29" s="74" t="s">
        <v>36</v>
      </c>
    </row>
    <row r="30" spans="1:26" x14ac:dyDescent="0.25">
      <c r="B30" s="74" t="s">
        <v>37</v>
      </c>
    </row>
  </sheetData>
  <mergeCells count="10">
    <mergeCell ref="T5:V5"/>
    <mergeCell ref="U6:V6"/>
    <mergeCell ref="W6:X6"/>
    <mergeCell ref="A2:F2"/>
    <mergeCell ref="Y6:Z6"/>
    <mergeCell ref="C15:C16"/>
    <mergeCell ref="T20:T25"/>
    <mergeCell ref="B8:C8"/>
    <mergeCell ref="B10:C10"/>
    <mergeCell ref="B15:B16"/>
  </mergeCells>
  <pageMargins left="0.70866141732283472" right="0.70866141732283472" top="0.74803149606299213" bottom="0.74803149606299213" header="0.31496062992125984" footer="0.31496062992125984"/>
  <pageSetup scale="105" orientation="landscape" r:id="rId1"/>
  <colBreaks count="1" manualBreakCount="1">
    <brk id="14"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Mortgage Calculator</vt:lpstr>
      <vt:lpstr>PPI Calculator</vt:lpstr>
    </vt:vector>
  </TitlesOfParts>
  <Company>CMHC-SCHL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MSTERGIA</dc:creator>
  <cp:lastModifiedBy>JJackson</cp:lastModifiedBy>
  <cp:lastPrinted>2016-04-20T22:27:18Z</cp:lastPrinted>
  <dcterms:created xsi:type="dcterms:W3CDTF">2016-03-03T15:42:51Z</dcterms:created>
  <dcterms:modified xsi:type="dcterms:W3CDTF">2016-06-22T17:02:41Z</dcterms:modified>
</cp:coreProperties>
</file>